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2" documentId="8_{716A9473-F9DB-482F-B215-2C8F22C2229B}" xr6:coauthVersionLast="47" xr6:coauthVersionMax="47" xr10:uidLastSave="{3645A078-2432-4772-B181-C30BCA4A62A6}"/>
  <bookViews>
    <workbookView xWindow="-120" yWindow="-120" windowWidth="29040" windowHeight="15720" xr2:uid="{81CFD70E-8034-4963-A311-A79E2EEFE8E7}"/>
  </bookViews>
  <sheets>
    <sheet name="Sulfat+Mek+Papper"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8" i="2" l="1"/>
  <c r="N178" i="2"/>
  <c r="P88" i="2"/>
  <c r="P86" i="2"/>
  <c r="P85" i="2"/>
  <c r="P83" i="2"/>
  <c r="P82" i="2"/>
  <c r="P80" i="2"/>
  <c r="N88" i="2"/>
  <c r="N86" i="2"/>
  <c r="N85" i="2"/>
  <c r="N83" i="2"/>
  <c r="N82" i="2"/>
  <c r="D158" i="2"/>
  <c r="D229" i="2" l="1"/>
  <c r="D226" i="2"/>
  <c r="I214" i="2"/>
  <c r="I212" i="2"/>
  <c r="I176" i="2"/>
  <c r="I173" i="2"/>
  <c r="D186" i="2" l="1"/>
  <c r="D184" i="2"/>
  <c r="D81" i="2" l="1"/>
  <c r="P89" i="2" l="1"/>
  <c r="N89" i="2"/>
  <c r="I247" i="2"/>
  <c r="P232" i="2" s="1"/>
  <c r="I246" i="2"/>
  <c r="I245" i="2"/>
  <c r="P229" i="2" s="1"/>
  <c r="I244" i="2"/>
  <c r="I206" i="2"/>
  <c r="P181" i="2" s="1"/>
  <c r="I205" i="2"/>
  <c r="I204" i="2"/>
  <c r="P178" i="2" s="1"/>
  <c r="I203" i="2"/>
  <c r="P175" i="2" s="1"/>
  <c r="N226" i="2" l="1"/>
  <c r="P226" i="2"/>
  <c r="P231" i="2"/>
  <c r="P180" i="2"/>
  <c r="D232" i="2"/>
  <c r="D60" i="2" l="1"/>
  <c r="D105" i="2"/>
  <c r="D104" i="2"/>
  <c r="D139" i="2" l="1"/>
  <c r="I228" i="2"/>
  <c r="I242" i="2" s="1"/>
  <c r="I187" i="2"/>
  <c r="I201" i="2" s="1"/>
  <c r="I229" i="2"/>
  <c r="I243" i="2" s="1"/>
  <c r="I188" i="2"/>
  <c r="I202" i="2" s="1"/>
  <c r="D138" i="2"/>
  <c r="D162" i="2"/>
  <c r="D161" i="2"/>
  <c r="D160" i="2"/>
  <c r="D159" i="2"/>
  <c r="D102" i="2"/>
  <c r="D103" i="2"/>
  <c r="D137" i="2"/>
  <c r="P227" i="2" l="1"/>
  <c r="P225" i="2"/>
  <c r="P230" i="2"/>
  <c r="P228" i="2"/>
  <c r="P179" i="2"/>
  <c r="P177" i="2"/>
  <c r="P174" i="2"/>
  <c r="P176" i="2"/>
  <c r="D251" i="2"/>
  <c r="D242" i="2" l="1"/>
  <c r="D238" i="2"/>
  <c r="D214" i="2" l="1"/>
  <c r="D199" i="2"/>
  <c r="N128" i="2" l="1"/>
  <c r="I121" i="2" l="1"/>
  <c r="I120" i="2"/>
  <c r="D118" i="2"/>
  <c r="D120" i="2" s="1"/>
  <c r="D71" i="2"/>
  <c r="D125" i="2" l="1"/>
  <c r="D129" i="2" s="1"/>
  <c r="N80" i="2"/>
  <c r="D194" i="2"/>
  <c r="D181" i="2"/>
  <c r="D200" i="2" l="1"/>
  <c r="D206" i="2"/>
  <c r="I200" i="2" s="1"/>
  <c r="D183" i="2"/>
  <c r="D187" i="2" s="1"/>
  <c r="D173" i="2"/>
  <c r="D89" i="2"/>
  <c r="D92" i="2" s="1"/>
  <c r="D221" i="2"/>
  <c r="N173" i="2" l="1"/>
  <c r="P173" i="2"/>
  <c r="D142" i="2"/>
  <c r="D143" i="2" s="1"/>
  <c r="I112" i="2" s="1"/>
  <c r="I122" i="2" s="1"/>
  <c r="D174" i="2"/>
  <c r="I210" i="2"/>
  <c r="D93" i="2"/>
  <c r="D94" i="2" s="1"/>
  <c r="D215" i="2"/>
  <c r="D106" i="2" l="1"/>
  <c r="I83" i="2" s="1"/>
  <c r="P87" i="2" s="1"/>
  <c r="I211" i="2"/>
  <c r="I213" i="2"/>
  <c r="P116" i="2"/>
  <c r="D231" i="2"/>
  <c r="D222" i="2"/>
  <c r="I76" i="2" l="1"/>
  <c r="I82" i="2"/>
  <c r="I77" i="2"/>
  <c r="D223" i="2"/>
  <c r="I78" i="2"/>
  <c r="I81" i="2"/>
  <c r="I80" i="2"/>
  <c r="N116" i="2"/>
  <c r="D233" i="2"/>
  <c r="I126" i="2"/>
  <c r="I131" i="2"/>
  <c r="I147" i="2" s="1"/>
  <c r="I183" i="2" s="1"/>
  <c r="I132" i="2"/>
  <c r="I148" i="2" s="1"/>
  <c r="I125" i="2"/>
  <c r="P81" i="2" l="1"/>
  <c r="D228" i="2"/>
  <c r="I184" i="2"/>
  <c r="I196" i="2" s="1"/>
  <c r="N181" i="2" s="1"/>
  <c r="D239" i="2"/>
  <c r="D225" i="2"/>
  <c r="I195" i="2"/>
  <c r="N124" i="2"/>
  <c r="I93" i="2"/>
  <c r="I107" i="2" s="1"/>
  <c r="N87" i="2" s="1"/>
  <c r="N123" i="2"/>
  <c r="I92" i="2"/>
  <c r="I106" i="2" s="1"/>
  <c r="I136" i="2"/>
  <c r="I127" i="2"/>
  <c r="I145" i="2" s="1"/>
  <c r="I138" i="2"/>
  <c r="I87" i="2" s="1"/>
  <c r="I98" i="2" s="1"/>
  <c r="I130" i="2"/>
  <c r="I146" i="2" s="1"/>
  <c r="I129" i="2"/>
  <c r="I139" i="2" s="1"/>
  <c r="I90" i="2" s="1"/>
  <c r="I128" i="2"/>
  <c r="I137" i="2" s="1"/>
  <c r="I79" i="2"/>
  <c r="P84" i="2" l="1"/>
  <c r="I182" i="2"/>
  <c r="I194" i="2" s="1"/>
  <c r="N121" i="2"/>
  <c r="I181" i="2"/>
  <c r="I193" i="2" s="1"/>
  <c r="N175" i="2" s="1"/>
  <c r="N118" i="2"/>
  <c r="I225" i="2"/>
  <c r="N180" i="2"/>
  <c r="I91" i="2"/>
  <c r="I88" i="2"/>
  <c r="I104" i="2" s="1"/>
  <c r="I86" i="2"/>
  <c r="I96" i="2" s="1"/>
  <c r="I144" i="2"/>
  <c r="I180" i="2" s="1"/>
  <c r="I192" i="2" s="1"/>
  <c r="I89" i="2"/>
  <c r="I133" i="2"/>
  <c r="I143" i="2"/>
  <c r="I179" i="2" s="1"/>
  <c r="I191" i="2" s="1"/>
  <c r="I237" i="2" l="1"/>
  <c r="N232" i="2" s="1"/>
  <c r="I224" i="2"/>
  <c r="I236" i="2" s="1"/>
  <c r="I223" i="2"/>
  <c r="I235" i="2" s="1"/>
  <c r="N229" i="2" s="1"/>
  <c r="I222" i="2"/>
  <c r="I234" i="2" s="1"/>
  <c r="I221" i="2"/>
  <c r="I220" i="2"/>
  <c r="P120" i="2"/>
  <c r="P122" i="2"/>
  <c r="I102" i="2"/>
  <c r="N117" i="2"/>
  <c r="N120" i="2"/>
  <c r="N122" i="2"/>
  <c r="N119" i="2"/>
  <c r="D241" i="2"/>
  <c r="N81" i="2" l="1"/>
  <c r="N176" i="2"/>
  <c r="N231" i="2"/>
  <c r="I233" i="2"/>
  <c r="I232" i="2"/>
  <c r="N174" i="2"/>
  <c r="N177" i="2"/>
  <c r="N179" i="2"/>
  <c r="D243" i="2"/>
  <c r="I241" i="2" s="1"/>
  <c r="P224" i="2" s="1"/>
  <c r="N225" i="2" l="1"/>
  <c r="N230" i="2"/>
  <c r="N227" i="2"/>
  <c r="D253" i="2"/>
  <c r="N224" i="2" s="1"/>
  <c r="D252" i="2"/>
  <c r="I97" i="2"/>
  <c r="I99" i="2"/>
  <c r="I105" i="2"/>
  <c r="I103" i="2" l="1"/>
  <c r="N8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112" authorId="0" shapeId="0" xr:uid="{6C6B6084-E824-4CE2-808D-DF1860A8E9A8}">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113" authorId="0" shapeId="0" xr:uid="{7890C752-8E28-460B-B3FB-5EE6D0EB50CB}">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<sst xmlns="http://schemas.openxmlformats.org/spreadsheetml/2006/main" count="1135" uniqueCount="863">
  <si>
    <r>
      <t>Grönt med</t>
    </r>
    <r>
      <rPr>
        <b/>
        <sz val="11"/>
        <color rgb="FF0070C0"/>
        <rFont val="Calibri"/>
        <family val="2"/>
        <scheme val="minor"/>
      </rPr>
      <t xml:space="preserve"> blå text</t>
    </r>
    <r>
      <rPr>
        <b/>
        <sz val="11"/>
        <color theme="1"/>
        <rFont val="Calibri"/>
        <family val="2"/>
        <scheme val="minor"/>
      </rPr>
      <t xml:space="preserve"> = Celler där data ska läggas in</t>
    </r>
  </si>
  <si>
    <t>Gult med svart text = Beräknade data</t>
  </si>
  <si>
    <t>NAMN PÅ BRUK:</t>
  </si>
  <si>
    <t>Blå = Beräknade nyckeltal</t>
  </si>
  <si>
    <t>ORT:</t>
  </si>
  <si>
    <t>SKOGEBORG</t>
  </si>
  <si>
    <t>Orange = Kontroll</t>
  </si>
  <si>
    <t>Rosa = Celler där data hämtas från annan cell</t>
  </si>
  <si>
    <t>Grå = Indata, flerval</t>
  </si>
  <si>
    <t>METADATA</t>
  </si>
  <si>
    <t>Område</t>
  </si>
  <si>
    <t>Förklaring</t>
  </si>
  <si>
    <t>Värde</t>
  </si>
  <si>
    <t>Kommentar</t>
  </si>
  <si>
    <t>Blekning</t>
  </si>
  <si>
    <t>(Välj)</t>
  </si>
  <si>
    <t>ADt</t>
  </si>
  <si>
    <t>Produktion av blekkemikalier</t>
  </si>
  <si>
    <t>Ange om använda blekkemikalier är inköpta eller egenproducerade</t>
  </si>
  <si>
    <t>-</t>
  </si>
  <si>
    <t>Kappatal</t>
  </si>
  <si>
    <t>Ange kappatal i sulfatmassakoket</t>
  </si>
  <si>
    <t>Papper</t>
  </si>
  <si>
    <t>Typ av papper/kartong</t>
  </si>
  <si>
    <t>ton</t>
  </si>
  <si>
    <t>Energisystem</t>
  </si>
  <si>
    <t>Turbiner</t>
  </si>
  <si>
    <r>
      <t xml:space="preserve">Ange typ av turbin (kondens/mottryck) och antal
</t>
    </r>
    <r>
      <rPr>
        <i/>
        <sz val="11"/>
        <color theme="1"/>
        <rFont val="Calibri"/>
        <family val="2"/>
        <scheme val="minor"/>
      </rPr>
      <t>[Infoga rader efter behov (om flera typer av turbiner)]</t>
    </r>
  </si>
  <si>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</si>
  <si>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</si>
  <si>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</si>
  <si>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</si>
  <si>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Produktion av specialprodukt</t>
  </si>
  <si>
    <r>
      <t xml:space="preserve">Lista de specialprodukter som produceras vid bruket, och produktion av respektive typ
</t>
    </r>
    <r>
      <rPr>
        <i/>
        <sz val="11"/>
        <color theme="1"/>
        <rFont val="Calibri"/>
        <family val="2"/>
        <scheme val="minor"/>
      </rPr>
      <t>[Infoga rader efter behov]</t>
    </r>
  </si>
  <si>
    <t>PRODUKTION</t>
  </si>
  <si>
    <t>Ekvation</t>
  </si>
  <si>
    <t>Benämning</t>
  </si>
  <si>
    <t>M1</t>
  </si>
  <si>
    <t>Ma pump sulf</t>
  </si>
  <si>
    <t>M2</t>
  </si>
  <si>
    <t>V1</t>
  </si>
  <si>
    <t>Ved sulf</t>
  </si>
  <si>
    <t xml:space="preserve">ved/flis till produktion av sulfatmassa </t>
  </si>
  <si>
    <t>V2</t>
  </si>
  <si>
    <t>M3</t>
  </si>
  <si>
    <t>Ma avsalu sulf</t>
  </si>
  <si>
    <t>såld sulfatmassa (avsalumassa)</t>
  </si>
  <si>
    <t>M4</t>
  </si>
  <si>
    <t>M5</t>
  </si>
  <si>
    <t>Ma ink</t>
  </si>
  <si>
    <t>inköpt massa</t>
  </si>
  <si>
    <t>P1</t>
  </si>
  <si>
    <t>Pa tot</t>
  </si>
  <si>
    <t>MP1</t>
  </si>
  <si>
    <t>Slutprod</t>
  </si>
  <si>
    <t>summa slutprodukter massa och papper</t>
  </si>
  <si>
    <t>ADt + ton</t>
  </si>
  <si>
    <t>ELFÖRBRUKNING</t>
  </si>
  <si>
    <t>TJ</t>
  </si>
  <si>
    <t>el ink</t>
  </si>
  <si>
    <t>el inköpt</t>
  </si>
  <si>
    <t>E11</t>
  </si>
  <si>
    <t>el rens sulf gem</t>
  </si>
  <si>
    <t>gemensam elförbrukning som fördelats till, eller med utgångspunkt från andel av uppmätt förbrukning hänförts till renseriet (sulfatmassans andel)</t>
  </si>
  <si>
    <t>E12</t>
  </si>
  <si>
    <t>gemensam elförbrukning som fördelats till, eller med utgångspunkt från andel av uppmätt förbrukning hänförts till produktion av sulfat-pumpmassa (exkl. renseri)</t>
  </si>
  <si>
    <t>el såld</t>
  </si>
  <si>
    <t>el såld till elnätet</t>
  </si>
  <si>
    <t>E13</t>
  </si>
  <si>
    <t>el tork sulf gem</t>
  </si>
  <si>
    <t>E1</t>
  </si>
  <si>
    <t>El tot tillf</t>
  </si>
  <si>
    <t>Total elförbrukning i massabruket beräknad från produktion och handel (tillförselsidan)</t>
  </si>
  <si>
    <t>E14</t>
  </si>
  <si>
    <t>el rens uppm</t>
  </si>
  <si>
    <t>E15</t>
  </si>
  <si>
    <t>uppmätt elförbrukning för produktion av sulfat-pumpmassa, exkl. el till renseriet</t>
  </si>
  <si>
    <t>E16</t>
  </si>
  <si>
    <t>el tork sulf uppm</t>
  </si>
  <si>
    <t>uppmätt elförbrukning för torkning av sulfat-pumpmassa till avsalumassa</t>
  </si>
  <si>
    <t>E17</t>
  </si>
  <si>
    <t>el uppsl gem</t>
  </si>
  <si>
    <t>gemensam elförbrukning som fördelats till, eller med utgångspunkt från andel av uppmätt förbrukning hänförts till uppslagning av inköpt massa</t>
  </si>
  <si>
    <t>E18</t>
  </si>
  <si>
    <t>el pa gem</t>
  </si>
  <si>
    <t>gemensam elförbrukning som fördelats till, eller med utgångspunkt från andel av uppmätt förbrukning hänförts till själva pappersproduktionen</t>
  </si>
  <si>
    <t>el uppsl uppm</t>
  </si>
  <si>
    <t>uppmätt elförbrukning för uppslagning av inköpt massa</t>
  </si>
  <si>
    <t>el pa uppm</t>
  </si>
  <si>
    <t>uppmätt elförbrukning för själva pappersproduktionen</t>
  </si>
  <si>
    <t>E19</t>
  </si>
  <si>
    <t>el rens sulf br</t>
  </si>
  <si>
    <t>E2</t>
  </si>
  <si>
    <t>el proc uppm</t>
  </si>
  <si>
    <t>Summa elförbrukning som uppmätts specifikt för de olika processavsnitten</t>
  </si>
  <si>
    <t>E20</t>
  </si>
  <si>
    <t>el gem uppm</t>
  </si>
  <si>
    <t>uppmätt elförbrukning för gemensamma funktioner, dvs el som används för t.ex. vattenrening, kontor, underhållsverkstad och som inte används i elpannor för värmeproduktion</t>
  </si>
  <si>
    <t>E21</t>
  </si>
  <si>
    <t>el tork sulf br</t>
  </si>
  <si>
    <t>el br</t>
  </si>
  <si>
    <t>elförbrukning för produktion av värme i elpannor och el till övrig panndrift (användning av el som ”bränsle”)</t>
  </si>
  <si>
    <t>E22</t>
  </si>
  <si>
    <t>E3</t>
  </si>
  <si>
    <t>E23</t>
  </si>
  <si>
    <t>E4</t>
  </si>
  <si>
    <t>el bal</t>
  </si>
  <si>
    <t>E24</t>
  </si>
  <si>
    <t>E5</t>
  </si>
  <si>
    <t>el gem</t>
  </si>
  <si>
    <t>el som förbrukas i gemensamma funktioner eller ingår i gemensam balanspost</t>
  </si>
  <si>
    <t>E25</t>
  </si>
  <si>
    <t>el uppsl br</t>
  </si>
  <si>
    <t xml:space="preserve">el gem förd rens </t>
  </si>
  <si>
    <t xml:space="preserve">del av gemensam elförbrukning (inkl. gemensam balanspost) som kan fördelas till vedhantering och renseri baserat på rimliga antaganden och uppskattningar </t>
  </si>
  <si>
    <t>E26</t>
  </si>
  <si>
    <t>el pa br</t>
  </si>
  <si>
    <t xml:space="preserve">del av gemensam elförbrukning (inkl. gemensam balanspost) som kan fördelas till produktion av sulfat-pumpmassa (exkl. renseri) baserat på rimliga antaganden och uppskattningar </t>
  </si>
  <si>
    <t>el gem förd tork sulf</t>
  </si>
  <si>
    <t xml:space="preserve">del av gemensam elförbrukning (inkl. gemensam balanspost) som kan fördelas till torkning av sulfat-pumpmassa till avsalumassa baserat på rimliga antaganden och uppskattningar </t>
  </si>
  <si>
    <t>E27</t>
  </si>
  <si>
    <t>el rens sulf</t>
  </si>
  <si>
    <t>Förbrukning av el i renseriet (sulfatmassans del)</t>
  </si>
  <si>
    <t>E28</t>
  </si>
  <si>
    <t>el gem förd uppsl</t>
  </si>
  <si>
    <t>del av gemensam elförbrukning (inkl gemensam balanspost) som kan fördelas  till uppslagning av massa baserat på rimliga antaganden och uppskattningar</t>
  </si>
  <si>
    <t>E29</t>
  </si>
  <si>
    <t>Förbrukning av el för produktion av sulfat-pumpmassa (exkl. renseri)</t>
  </si>
  <si>
    <t>el gem förd pa</t>
  </si>
  <si>
    <t>del av gemensam elförbrukning (inkl gemensam balanspost) som kan fördelas till pappersproduktionen baserat på rimliga antaganden och uppskattningar</t>
  </si>
  <si>
    <t>E30</t>
  </si>
  <si>
    <t>E6</t>
  </si>
  <si>
    <t>el rens sulf uppm</t>
  </si>
  <si>
    <t>sulfatmassaproduktionens del av renseriets uppmätta elförbrukning</t>
  </si>
  <si>
    <t>E7</t>
  </si>
  <si>
    <t>E8</t>
  </si>
  <si>
    <t>el gem förd rens sulf</t>
  </si>
  <si>
    <t>E31</t>
  </si>
  <si>
    <t>El pump sulf</t>
  </si>
  <si>
    <t>Förbrukning av el för produktion av sulfat-pumpmassa</t>
  </si>
  <si>
    <t>E9</t>
  </si>
  <si>
    <t>E32</t>
  </si>
  <si>
    <t>E10</t>
  </si>
  <si>
    <t>el gem rest</t>
  </si>
  <si>
    <t>resterande gemensam elförbrukning som inte tydligt kan fördelas till specifika processavsnitt</t>
  </si>
  <si>
    <t>E33</t>
  </si>
  <si>
    <t>El tork sulf</t>
  </si>
  <si>
    <t>Förbrukning av el för torkning av sulfat-avsalumassa</t>
  </si>
  <si>
    <t>E34</t>
  </si>
  <si>
    <t>E35</t>
  </si>
  <si>
    <t>El uppsl</t>
  </si>
  <si>
    <t>Förbrukning av el för uppslagning av inköpt massa</t>
  </si>
  <si>
    <t>E36</t>
  </si>
  <si>
    <t>El pa</t>
  </si>
  <si>
    <t>Förbrukning av el för produktion av papper från pumpmassa</t>
  </si>
  <si>
    <t>NYCKELTAL</t>
  </si>
  <si>
    <t>E37</t>
  </si>
  <si>
    <t>E38</t>
  </si>
  <si>
    <t>E39</t>
  </si>
  <si>
    <t>E40</t>
  </si>
  <si>
    <t>E41</t>
  </si>
  <si>
    <t>E42</t>
  </si>
  <si>
    <t>E43</t>
  </si>
  <si>
    <t>E44</t>
  </si>
  <si>
    <t>Självförsörjningsgrad el</t>
  </si>
  <si>
    <t>VÄRMEFÖRBRUKNING</t>
  </si>
  <si>
    <t>q turb</t>
  </si>
  <si>
    <t>Q19</t>
  </si>
  <si>
    <t>q rens sulf gem</t>
  </si>
  <si>
    <t>gemensam värmeförbrukning som fördelats till, eller med utgångspunkt från andel av uppmätt förbrukning hänförts till renseriet (sulfatmassans andel)</t>
  </si>
  <si>
    <t>q dir</t>
  </si>
  <si>
    <t>Q20</t>
  </si>
  <si>
    <t>q fiber sulf gem</t>
  </si>
  <si>
    <t>gemensam värmeförbrukning som fördelats till, eller med utgångspunkt från andel av uppmätt förbrukning hänförts till produktion av sulfat-pumpmassa (exkl. renseri)</t>
  </si>
  <si>
    <t>q gp</t>
  </si>
  <si>
    <t>ånga producerad i starkgaspanna</t>
  </si>
  <si>
    <t>Q21</t>
  </si>
  <si>
    <t>q tork sulf gem</t>
  </si>
  <si>
    <t xml:space="preserve">gemensam värmeförbrukning som fördelats till, eller med utgångspunkt från andel av uppmätt förbrukning hänförts till torkning av sulfat-pumpmassa till avsalumassa </t>
  </si>
  <si>
    <t>q elp</t>
  </si>
  <si>
    <t>ånga producerad i elpanna</t>
  </si>
  <si>
    <t>Q22</t>
  </si>
  <si>
    <t>q övrp</t>
  </si>
  <si>
    <t>ånga som produceras i annan panna, ej ansluten till turbin</t>
  </si>
  <si>
    <t>Q23</t>
  </si>
  <si>
    <t>q vtn</t>
  </si>
  <si>
    <t xml:space="preserve">hetvatten som produceras i egen panna (t.ex. oljepanna eller elpanna)  </t>
  </si>
  <si>
    <t>Q24</t>
  </si>
  <si>
    <t>Q1</t>
  </si>
  <si>
    <t>q prod panna</t>
  </si>
  <si>
    <t>Q25</t>
  </si>
  <si>
    <t>q uppsl gem</t>
  </si>
  <si>
    <t>gemensam värmeförbrukning som fördelats till, eller med utgångspunkt från andel av uppmätt förbrukning hänförts till  uppslagning av inköpt massa</t>
  </si>
  <si>
    <t>q prod raff</t>
  </si>
  <si>
    <t>Q26</t>
  </si>
  <si>
    <t>q pa gem</t>
  </si>
  <si>
    <t>gemensam värmeförbrukning som fördelats till, eller med utgångspunkt från andel av uppmätt förbrukning hänförts till själva pappersproduktionen</t>
  </si>
  <si>
    <t>Q2</t>
  </si>
  <si>
    <t>q prod tot</t>
  </si>
  <si>
    <t>summa egenproducerad värme inkl raffinörer</t>
  </si>
  <si>
    <t>Kontroll (ska vara noll)</t>
  </si>
  <si>
    <t>q ink</t>
  </si>
  <si>
    <t>ånga  eller hetvatten som köps in från extern leverantör</t>
  </si>
  <si>
    <t>q prim ext</t>
  </si>
  <si>
    <t>primärvärme (ånga) som säljs till extern förbrukare</t>
  </si>
  <si>
    <t>Q3</t>
  </si>
  <si>
    <t>Q tot brutto</t>
  </si>
  <si>
    <t>brutto förbrukning av värme vid massa- och pappersbruket, beräknad från värmeproduktion</t>
  </si>
  <si>
    <t>q sek ext</t>
  </si>
  <si>
    <t>sekundärvärme från bruket som säljs till extern förbrukare</t>
  </si>
  <si>
    <t>q rens sulf</t>
  </si>
  <si>
    <t>Förbrukning av värme i renseriet (sulfatmassans del)</t>
  </si>
  <si>
    <t>Q4</t>
  </si>
  <si>
    <t>Q tot netto</t>
  </si>
  <si>
    <t>netto förbrukning av värme vid massabruket, beräknad från värmeproduktion</t>
  </si>
  <si>
    <t>q rens uppm</t>
  </si>
  <si>
    <t>Q27</t>
  </si>
  <si>
    <t>q fiber sulf</t>
  </si>
  <si>
    <t>Förbrukning av värme för produktion av sulfat-pumpmassa (exkl. renseri)</t>
  </si>
  <si>
    <t>q fiber sulf uppm</t>
  </si>
  <si>
    <t>uppmätt förbrukning av primärvärme för produktion av sulfat-pumpmassa (exkl. renseri)</t>
  </si>
  <si>
    <t>Q28</t>
  </si>
  <si>
    <t>q tork sulf uppm</t>
  </si>
  <si>
    <t>uppmätt förbrukning av primärvärme för torkning av sulfat-avsalumassa</t>
  </si>
  <si>
    <t>Q31</t>
  </si>
  <si>
    <t>Q pump sulf</t>
  </si>
  <si>
    <t>Förbrukning av värme för produktion av sulfat-pumpmassa</t>
  </si>
  <si>
    <t>q uppsl uppm</t>
  </si>
  <si>
    <t>uppmätt förbrukning av primärvärme för uppslagning av inköpt massa</t>
  </si>
  <si>
    <t>Q32</t>
  </si>
  <si>
    <t>q pa uppm</t>
  </si>
  <si>
    <t>uppmätt förbrukning av primärvärme för själva pappersproduktionen</t>
  </si>
  <si>
    <t>Q29</t>
  </si>
  <si>
    <t>Förbrukning av värme för torkning av sulfat-avsalumassa</t>
  </si>
  <si>
    <t>Q5</t>
  </si>
  <si>
    <t>q proc uppm</t>
  </si>
  <si>
    <t>summa  primärvärmeförbrukning uppmätt specifikt för de olika processavsnitten</t>
  </si>
  <si>
    <t>Q30</t>
  </si>
  <si>
    <t>q gem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</si>
  <si>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</si>
  <si>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Q33</t>
  </si>
  <si>
    <t>Q uppsl</t>
  </si>
  <si>
    <t>Förbrukning av värme för uppslagning av inköpt massa</t>
  </si>
  <si>
    <t>q fribl uppm</t>
  </si>
  <si>
    <t xml:space="preserve">uppmätt friblåsning av ånga som därmed inte nyttiggörs i produktionen </t>
  </si>
  <si>
    <t>Q34</t>
  </si>
  <si>
    <t>Q pa</t>
  </si>
  <si>
    <t>Förbrukning av värme för produktion av papper från pumpmassa</t>
  </si>
  <si>
    <t>Q6</t>
  </si>
  <si>
    <t>Q tot uppm</t>
  </si>
  <si>
    <t>total uppmätt primärvärmeförbrukning</t>
  </si>
  <si>
    <t>Q7</t>
  </si>
  <si>
    <t>q prim bal</t>
  </si>
  <si>
    <t>q rens→sek</t>
  </si>
  <si>
    <t>sekundärvärme som tillvaratas från renseriet</t>
  </si>
  <si>
    <t>GJ/ADt</t>
  </si>
  <si>
    <t>q fiber sulf→sek</t>
  </si>
  <si>
    <t xml:space="preserve">sekundärvärme som tillvaratas från produktionen av sulfat-pumpmassa (exkl. renseri). </t>
  </si>
  <si>
    <t>Q35</t>
  </si>
  <si>
    <t>q tork sulf→sek</t>
  </si>
  <si>
    <t xml:space="preserve">sekundärvärme som tillvaratas från torkningen av sulfat-avsalumassa </t>
  </si>
  <si>
    <t>Q36</t>
  </si>
  <si>
    <t>Q37</t>
  </si>
  <si>
    <t>Q38</t>
  </si>
  <si>
    <t>q uppsl→sek</t>
  </si>
  <si>
    <t xml:space="preserve">sekundärvärme som tillvaratas från uppslagningen av inköpt massa  </t>
  </si>
  <si>
    <t>Q39</t>
  </si>
  <si>
    <t>q pa→sek</t>
  </si>
  <si>
    <t>sekundärvärme som tillvaratas från själva pappersproduktionen</t>
  </si>
  <si>
    <t>q sek→rens</t>
  </si>
  <si>
    <t>sekundärvärme som används i renseriet</t>
  </si>
  <si>
    <t>q sek→fiber sulf</t>
  </si>
  <si>
    <t>sekundärvärme som används för produktion av sulfat-pumpmassa (exkl. renseri)</t>
  </si>
  <si>
    <t>q sek→tork sulf</t>
  </si>
  <si>
    <t>sekundärvärme som används för torkning av sulfat-avsalumassa</t>
  </si>
  <si>
    <t>Q40</t>
  </si>
  <si>
    <t>Q41</t>
  </si>
  <si>
    <t>q sek→uppsl</t>
  </si>
  <si>
    <t>sekundärvärme som används för uppslagning av inköpt massa</t>
  </si>
  <si>
    <t>q sek→pa</t>
  </si>
  <si>
    <t>sekundärvärme som används för själva pappersproduktionen </t>
  </si>
  <si>
    <t>Q8</t>
  </si>
  <si>
    <t>q sek bal</t>
  </si>
  <si>
    <t>Q42</t>
  </si>
  <si>
    <t>Q9</t>
  </si>
  <si>
    <t>q rens sulf→sek</t>
  </si>
  <si>
    <t>sulfatmassans del av sekundärvärme som tillvaratas från renseriet</t>
  </si>
  <si>
    <t>Q10</t>
  </si>
  <si>
    <t>Q44</t>
  </si>
  <si>
    <t>Q11</t>
  </si>
  <si>
    <t>q sek→rens sulf</t>
  </si>
  <si>
    <t>sulfatmassans del av sekundärvärmeanvändning i renseriet</t>
  </si>
  <si>
    <t>Q12</t>
  </si>
  <si>
    <t>Q13</t>
  </si>
  <si>
    <t>q gem</t>
  </si>
  <si>
    <t>värme som förbrukas i gemensamma funktioner eller ingår i gemensamma balansposter</t>
  </si>
  <si>
    <t>q gem förd rens</t>
  </si>
  <si>
    <t xml:space="preserve">del av gemensam värmeförbrukning (inkl. friblåsning och  gemensam balanspost) som kan fördelas till vedhantering och renseri baserat på rimliga antaganden och uppskattningar </t>
  </si>
  <si>
    <t>q gem förd fiber sulf</t>
  </si>
  <si>
    <t xml:space="preserve">del av gemensam värmeförbrukning (inkl. friblåsning och gemensam balanspost) som kan fördelas till produktion av sulfat-pumpmassa (exkl. renseri) baserat på rimliga antaganden och uppskattningar </t>
  </si>
  <si>
    <t>q gem förd tork sulf</t>
  </si>
  <si>
    <t xml:space="preserve">del av gemensam värmeförbrukning (inkl. friblåsning och gemensam balanspost) som kan fördelas till torkning av sulfat-pumpmassa till avsalumassa baserat på rimliga antaganden och uppskattningar </t>
  </si>
  <si>
    <t>q gem förd uppsl</t>
  </si>
  <si>
    <t>del av gemensam värmeförbrukning (inkl friblåsning och gemensam balanspost)  som kan fördelas till uppslagning av inköpt massa baserat på rimliga antaganden och uppskattningar</t>
  </si>
  <si>
    <t>q gem förd pa</t>
  </si>
  <si>
    <t>del av gemensam värmeförbrukning (inkl friblåsning och gemensam balanspost)  som kan fördelas till själva pappersproduktionen baserat på rimliga antaganden och uppskattningar</t>
  </si>
  <si>
    <t>Q14</t>
  </si>
  <si>
    <t>q rens sulf uppm</t>
  </si>
  <si>
    <t>sulfatmassans del av uppmätt värmeförbrukning i renseriet</t>
  </si>
  <si>
    <t>Q15</t>
  </si>
  <si>
    <t>Q16</t>
  </si>
  <si>
    <t>q gem förd rens sulf</t>
  </si>
  <si>
    <t>Q17</t>
  </si>
  <si>
    <t>Q18</t>
  </si>
  <si>
    <t>q gem rest</t>
  </si>
  <si>
    <t>resterande gemensam värmeförbrukning som inte tydligt kan fördelas till något av de olika processavsnitten</t>
  </si>
  <si>
    <t>BRÄNSLEFÖRBRUKNING TOTAL</t>
  </si>
  <si>
    <t>br bio ink fast</t>
  </si>
  <si>
    <t>inköpt bark, skogsflis och andra fasta biobränslen</t>
  </si>
  <si>
    <t>br såld bark</t>
  </si>
  <si>
    <t>såld bark och annat fast biobränsle som uppkommit i vedhantering och renseri</t>
  </si>
  <si>
    <t>B9</t>
  </si>
  <si>
    <t>Br tot inre netto</t>
  </si>
  <si>
    <t>Summa förbrukning av bränslen, inre systemgräns</t>
  </si>
  <si>
    <t>B1</t>
  </si>
  <si>
    <t>Br bio fast inre</t>
  </si>
  <si>
    <t>bark eller annat fast biobränsle som används för värmeproduktion vid bruket (förbränns i pannor eller används för direktvärme)</t>
  </si>
  <si>
    <t>Kontroll balans fast biobränsle (ska vara noll)</t>
  </si>
  <si>
    <t>Bränsle som används för produktion av ånga och hetvatten i egna pannor</t>
  </si>
  <si>
    <t>B10</t>
  </si>
  <si>
    <t>br pump sulf panna</t>
  </si>
  <si>
    <t>bränsle som används för att producera värme i form av ånga eller hetvatten fördelad till produktion av sulfat-pumpmassa</t>
  </si>
  <si>
    <t>br fast bio panna</t>
  </si>
  <si>
    <t>bark och annat fast biobränsle</t>
  </si>
  <si>
    <t>B11</t>
  </si>
  <si>
    <t>br tork sulf panna</t>
  </si>
  <si>
    <t>bränsle som används för att producera värme i form av ånga eller hetvatten fördelad till torkning av sulfat-pumpmassa till avsalumassa</t>
  </si>
  <si>
    <t>br flyt bio panna</t>
  </si>
  <si>
    <t>inköpta flytande biobränslen</t>
  </si>
  <si>
    <t>B12</t>
  </si>
  <si>
    <t>br gas bio panna</t>
  </si>
  <si>
    <t>inköpt biogas</t>
  </si>
  <si>
    <t>B13</t>
  </si>
  <si>
    <t>br eo fos panna</t>
  </si>
  <si>
    <t>fossil eldningsolja</t>
  </si>
  <si>
    <t>br gas fos panna</t>
  </si>
  <si>
    <t>övriga fossila bränslen, t.ex. naturgas</t>
  </si>
  <si>
    <t>B2</t>
  </si>
  <si>
    <t>Br panna inre brutto</t>
  </si>
  <si>
    <t>Summa bränsle för värmeproduktion i pannor, inre systemgräns, brutto</t>
  </si>
  <si>
    <t>B14</t>
  </si>
  <si>
    <t>br rens sulf övr</t>
  </si>
  <si>
    <t>sulfatmassans del av drivmedel och övrigt bränsle som används i verksamhet som kan hänföras till renseri, t.ex. truckar på vedgården.</t>
  </si>
  <si>
    <t>η ext</t>
  </si>
  <si>
    <t>B15</t>
  </si>
  <si>
    <t>B3</t>
  </si>
  <si>
    <t>B4</t>
  </si>
  <si>
    <t>Br panna inre netto</t>
  </si>
  <si>
    <t>Summa bränsle för värmeproduktion i pannor, inre systemgräns, netto</t>
  </si>
  <si>
    <t>B16</t>
  </si>
  <si>
    <t>Br pump sulf</t>
  </si>
  <si>
    <t>br fast bio dir</t>
  </si>
  <si>
    <t>B17</t>
  </si>
  <si>
    <t>br flyt bio dir</t>
  </si>
  <si>
    <t>B18</t>
  </si>
  <si>
    <t>Br tork sulf</t>
  </si>
  <si>
    <t>br gas bio dir</t>
  </si>
  <si>
    <t>B19</t>
  </si>
  <si>
    <t>br eo fos dir</t>
  </si>
  <si>
    <t>B20</t>
  </si>
  <si>
    <t>br gas fos dir</t>
  </si>
  <si>
    <t>övriga  fossila bränslen, t.ex. gasol och naturgas</t>
  </si>
  <si>
    <t>B21</t>
  </si>
  <si>
    <t>B5</t>
  </si>
  <si>
    <t>Br dir inre</t>
  </si>
  <si>
    <t>B6</t>
  </si>
  <si>
    <t>Kontroll, ska vara 0 (noll)</t>
  </si>
  <si>
    <t>B22</t>
  </si>
  <si>
    <t>x bio eget</t>
  </si>
  <si>
    <t>andel av totalt använd bark och annat biobränsle som uppkommit vid bruket</t>
  </si>
  <si>
    <t>Bränsle övrigt, använt som drivmedel eller för annat ändamål än värme eller direktvärme</t>
  </si>
  <si>
    <t>B23</t>
  </si>
  <si>
    <t>Br panna yttre, brutto</t>
  </si>
  <si>
    <t>Summa bränsle för värmeproduktion i pannor, yttre systemgräns, brutto</t>
  </si>
  <si>
    <t>br driv bio</t>
  </si>
  <si>
    <t>biodrivmedel (interna transporter), t.ex. biodiesel och etanol</t>
  </si>
  <si>
    <t>B24</t>
  </si>
  <si>
    <t>Br panna yttre netto</t>
  </si>
  <si>
    <t>Summa bränsle värmeproduktion i pannor, yttre systemgräns, netto</t>
  </si>
  <si>
    <t>br driv fos</t>
  </si>
  <si>
    <t>fossilt drivmedel (interna transporter), t.ex. bensin och diesel</t>
  </si>
  <si>
    <t>B25</t>
  </si>
  <si>
    <t>Br dir yttre</t>
  </si>
  <si>
    <r>
      <t xml:space="preserve">Summa bränsle direktvärme, yttre systemgräns </t>
    </r>
    <r>
      <rPr>
        <sz val="11"/>
        <color theme="1"/>
        <rFont val="Calibri"/>
        <family val="2"/>
        <scheme val="minor"/>
      </rPr>
      <t>(beräknad från bränsleslag)</t>
    </r>
  </si>
  <si>
    <t>br annat bio</t>
  </si>
  <si>
    <t>bränsle för andra ändamål, bio</t>
  </si>
  <si>
    <t>B26</t>
  </si>
  <si>
    <t>Br tot yttre</t>
  </si>
  <si>
    <t>Summa förbrukning av bränslen, yttre systemgräns</t>
  </si>
  <si>
    <t>br annat fos</t>
  </si>
  <si>
    <t>bränsle för andra ändamål, fossilt</t>
  </si>
  <si>
    <t>B7</t>
  </si>
  <si>
    <t>Br övr</t>
  </si>
  <si>
    <t>br rens övr</t>
  </si>
  <si>
    <t>drivmedel och övrigt bränsle som används i verksamhet som kan hänföras till renseri, t.ex. truckar på vedgården.</t>
  </si>
  <si>
    <t>B27</t>
  </si>
  <si>
    <t>B28</t>
  </si>
  <si>
    <t>br tork sulf övr</t>
  </si>
  <si>
    <t>drivmedel och övrigt bränsle som används i verksamhet som kan hänföras till torkningen av sulfatmassa, t.ex. truckar för utlastning av avsalumassa</t>
  </si>
  <si>
    <t>B29</t>
  </si>
  <si>
    <t>B30</t>
  </si>
  <si>
    <t>B8</t>
  </si>
  <si>
    <t>B31</t>
  </si>
  <si>
    <t>BRÄNSLEFÖRBRUKNING FOSSIL</t>
  </si>
  <si>
    <t>Fossilt bränsle som används för produktion av ånga och varmvatten</t>
  </si>
  <si>
    <t>gasformiga fossila bränslen, t.ex. gasol, naturgas</t>
  </si>
  <si>
    <t>F1</t>
  </si>
  <si>
    <t>Br panna brutto fos</t>
  </si>
  <si>
    <t>Summa fossilt bränsle för värmeproduktion i pannor, brutto</t>
  </si>
  <si>
    <t>F8</t>
  </si>
  <si>
    <t>Br tot fos</t>
  </si>
  <si>
    <t>Summa fossilt bränsle</t>
  </si>
  <si>
    <t>F2</t>
  </si>
  <si>
    <t>F3</t>
  </si>
  <si>
    <t>Br panna netto fos</t>
  </si>
  <si>
    <t>Summa fossilt bränsle  för värmeproduktion i pannor, netto</t>
  </si>
  <si>
    <t>F9</t>
  </si>
  <si>
    <t>br pump sulf panna fos</t>
  </si>
  <si>
    <t>fossilt bränsle som används för att producera värme i form av ånga eller hetvatten fördelad till produktion av sulfat-pumpmassa</t>
  </si>
  <si>
    <t>F10</t>
  </si>
  <si>
    <t>br tork sulf panna fos</t>
  </si>
  <si>
    <t>fossilt bränsle som används för att producera värme i form av ånga eller hetvatten fördelad till torkning av sulfat-pumpmassa till avsalumassa</t>
  </si>
  <si>
    <t>F11</t>
  </si>
  <si>
    <t>övrig användning av fossila bränslen, t.ex. gasol</t>
  </si>
  <si>
    <t>F12</t>
  </si>
  <si>
    <t>F4</t>
  </si>
  <si>
    <t>Br dir fos</t>
  </si>
  <si>
    <t>Summa fossilt bränsle direktvärme (beräknat från bränsleslag)</t>
  </si>
  <si>
    <t>F13</t>
  </si>
  <si>
    <t>br rens sulf övr fos</t>
  </si>
  <si>
    <t>sulfatmassans del av fossilt drivmedel och övrigt bränsle som används i verksamhet som kan hänföras till renseri, t.ex. truckar på vedgården.</t>
  </si>
  <si>
    <t>F5</t>
  </si>
  <si>
    <t>Summa fossilt bränsle direktvärme (beräknat från användning)</t>
  </si>
  <si>
    <t>F14</t>
  </si>
  <si>
    <t>Fossilt bränsle övrigt, använt som drivmedel eller för annat ändamål än värme eller direktvärme</t>
  </si>
  <si>
    <t>fossilt bränsle för andra ändamål</t>
  </si>
  <si>
    <t>F15</t>
  </si>
  <si>
    <t>Br pump sulf fos</t>
  </si>
  <si>
    <t>Förbrukning av fossilt bränsle för produktion av sulfat-pumpmassa</t>
  </si>
  <si>
    <t>br rens övr fos</t>
  </si>
  <si>
    <t>fossilt drivmedel och övrigt bränsle som används i verksamhet som kan hänföras till renseri, t.ex. truckar på vedgården.</t>
  </si>
  <si>
    <t>F16</t>
  </si>
  <si>
    <t xml:space="preserve">br fiber sulf övr fos </t>
  </si>
  <si>
    <t>fossilt drivmedel och övrigt bränsle som används i verksamhet som kan hänföras till produktionen av sulfat-pumpmassa (exl. renseri)</t>
  </si>
  <si>
    <t>F17</t>
  </si>
  <si>
    <t>Br tork sulf fos</t>
  </si>
  <si>
    <t>Förbrukning av fossilt bränsle för torkning av sulfat-avsalumassa</t>
  </si>
  <si>
    <t>F18</t>
  </si>
  <si>
    <t>br tork sulf övr fos</t>
  </si>
  <si>
    <t>fossilt drivmedel och övrigt bränsle som används i verksamhet som kan hänföras till torkningen av sulfatmassa, t.ex. truckar för utlastning av avsalumassa</t>
  </si>
  <si>
    <t>F19</t>
  </si>
  <si>
    <t>F20</t>
  </si>
  <si>
    <t>F6</t>
  </si>
  <si>
    <t>Br övr fos</t>
  </si>
  <si>
    <t>Summa  övrigt fossilt bränsle (beräknat från bränsleslag)</t>
  </si>
  <si>
    <t>F7</t>
  </si>
  <si>
    <t>Summa  övrigt fossilt bränsle (beräknat från ändamål)</t>
  </si>
  <si>
    <t>F21</t>
  </si>
  <si>
    <t>F22</t>
  </si>
  <si>
    <t>F23</t>
  </si>
  <si>
    <t>F24</t>
  </si>
  <si>
    <t>F25</t>
  </si>
  <si>
    <t>Kommentarer och noteringar</t>
  </si>
  <si>
    <t>Q45</t>
  </si>
  <si>
    <t>Q tork sulf</t>
  </si>
  <si>
    <t>br pa dir</t>
  </si>
  <si>
    <t>bränsle som används för att producera direktvärme för själva pappersproduktionen</t>
  </si>
  <si>
    <t>bränsle som används för att producera direktvärme vid produktion av sulfat-pumpmassa, t.ex. bränsle till mesaugnen</t>
  </si>
  <si>
    <t>br tork sulf dir</t>
  </si>
  <si>
    <t>bränsle som används för att producera direktvärme för torkning av sulfatmassa, t.ex. direkteldade flingtorkar</t>
  </si>
  <si>
    <t>Bränsle som används för direktvärme (tex i mesaugn)</t>
  </si>
  <si>
    <t>drivmedel och övrigt bränsle som används i verksamhet som kan hänföras till produktionen av sulfat-pumpmassa (exkl. renseri)</t>
  </si>
  <si>
    <t>br uppsl övr</t>
  </si>
  <si>
    <t>drivmedel och annat bränsle som används i verksamhet som kan hänföras till uppslagning av inköpt massa</t>
  </si>
  <si>
    <t>br pa övr</t>
  </si>
  <si>
    <t>drivmedel och annat bränsle som används i verksamhet som kan hänföras till själva pappersproduktionen, t.ex. truckar för hantering av färdig produkt</t>
  </si>
  <si>
    <t>br uppsl panna</t>
  </si>
  <si>
    <t>br pa panna</t>
  </si>
  <si>
    <t>Br uppsl</t>
  </si>
  <si>
    <t>Br pa</t>
  </si>
  <si>
    <t>B32</t>
  </si>
  <si>
    <t>B33</t>
  </si>
  <si>
    <t>bränsle som används för att producera värme i form av ånga eller hetvatten fördelad till själva pappersproduktionen</t>
  </si>
  <si>
    <t>bränsle som används för att producera värme i form av ånga eller hetvatten fördelad till uppslagning av inköpt massa</t>
  </si>
  <si>
    <t>br fiber sulf dir fos</t>
  </si>
  <si>
    <t>br tork sulf dir fos</t>
  </si>
  <si>
    <t>br pa dir fos</t>
  </si>
  <si>
    <t>fossilt bränsle som används för att producera direktvärme vid produktion av sulfat-pumpmassa, t.ex. bränsle till mesaugnen</t>
  </si>
  <si>
    <t>fossilt bränsle som används för att producera direktvärme för torkning av sulfatmassa, t.ex. direkteldade flingtorkar</t>
  </si>
  <si>
    <t>fossilt bränsle som används för att producera direktvärme för själva pappersproduktionen</t>
  </si>
  <si>
    <t>br uppsl övr fos</t>
  </si>
  <si>
    <t>fossilt drivmedel och övrigt bränsle som används i verksamhet som kan hänföras till uppslagning av inköpt massa, t ex truckar för mottagning av inköpt massa</t>
  </si>
  <si>
    <t>br pa övr fos</t>
  </si>
  <si>
    <t>fossilt drivmedel och övrigt bränsle som används i verksamhet som kan hänföras till själva pappersproduktionen, t ex truckar för utlastning av färdig produkt</t>
  </si>
  <si>
    <t>fossilt bränsle som används för att producera värme i form av ånga eller hetvatten fördelad till uppslagning av inköpt massa</t>
  </si>
  <si>
    <t>fossilt bränsle som används för att producera värme i form av ånga eller hetvatten fördelad till själva pappersproduktionen</t>
  </si>
  <si>
    <t>Br uppsl fos</t>
  </si>
  <si>
    <t>Br pa fos</t>
  </si>
  <si>
    <t>Förbrukning av fossilt bränsle för uppslagning av inköpt massa</t>
  </si>
  <si>
    <t>Förbrukning av fossilt bränsle för själva pappersproduktionen</t>
  </si>
  <si>
    <t>F26</t>
  </si>
  <si>
    <t>F27</t>
  </si>
  <si>
    <t>F28</t>
  </si>
  <si>
    <t>F29</t>
  </si>
  <si>
    <t>Fossilt bränsle som används för direktvärme</t>
  </si>
  <si>
    <t>el använd för värmeproduktion fördelad till renseriet (sulfatmassans del)</t>
  </si>
  <si>
    <t>el använd för värmeproduktion fördelad till produktion av sulfat-pumpmassa (exkl. renseri)</t>
  </si>
  <si>
    <t>el använd för värmeproduktion fördelad till torkning av sulfat-avsalumassa</t>
  </si>
  <si>
    <t>el använd för värmeproduktion fördelad till uppslagning av inköpt massa</t>
  </si>
  <si>
    <t>el använd för värmeproduktion fördelad till själva pappersproduktionen</t>
  </si>
  <si>
    <t>sulfatmassans del av värmeförbrukning som fördelats till renseriet</t>
  </si>
  <si>
    <t>sulfatmassaproduktionens del av elförbrukning som fördelats till renseriet</t>
  </si>
  <si>
    <t>Q43</t>
  </si>
  <si>
    <t>Q46</t>
  </si>
  <si>
    <t>B34</t>
  </si>
  <si>
    <t>B35</t>
  </si>
  <si>
    <t>SKOGENS SULFAT- OCH MEKANISKA-BRUK</t>
  </si>
  <si>
    <t>Ma pump mek</t>
  </si>
  <si>
    <t>Ved mek</t>
  </si>
  <si>
    <t>Ma avsalu mek</t>
  </si>
  <si>
    <t>el rens mek gem</t>
  </si>
  <si>
    <t>gemensam elförbrukning som fördelats till, eller med utgångspunkt från andel av uppmätt förbrukning hänförts till produktion av mek-pumpmassa (exkl. renseri)</t>
  </si>
  <si>
    <t>el tork mek gem</t>
  </si>
  <si>
    <t>gemensam elförbrukning som fördelats till, eller med utgångspunkt från andel av uppmätt förbrukning hänförts till torkning av mek-pumpmassa till avsalumassa</t>
  </si>
  <si>
    <t>uppmätt elförbrukning för produktion av mek-pumpmassa, exkl. el till renseriet</t>
  </si>
  <si>
    <t>el tork mek uppm</t>
  </si>
  <si>
    <t xml:space="preserve">uppmätt elförbrukning för torkning av mek-pumpmassa till avsalumassa </t>
  </si>
  <si>
    <t>el rens mek br</t>
  </si>
  <si>
    <t>el använd för värmeproduktion fördelad till produktion av mek- pumpmassa (exkl. renseri)</t>
  </si>
  <si>
    <t>el tork mek br</t>
  </si>
  <si>
    <t>el använd för värmeproduktion fördelad till torkning av mek- avsalumassa</t>
  </si>
  <si>
    <t xml:space="preserve">del av gemensam elförbrukning (inkl. gemensam balanspost) som kan fördelas till produktion av mek-pumpmassa (exkl. renseri) baserat på rimliga antaganden och uppskattningar </t>
  </si>
  <si>
    <t xml:space="preserve">el gem förd tork mek </t>
  </si>
  <si>
    <t xml:space="preserve">del av gemensam elförbrukning (inkl. gemensam balanspost) som kan fördelas till torkning av mek-pumpmassa till avsalumassa baserat på rimliga antaganden och uppskattningar </t>
  </si>
  <si>
    <t>el rens mek</t>
  </si>
  <si>
    <t>Förbrukning av el för produktion av mek-pumpmassa (exkl. renseri)</t>
  </si>
  <si>
    <t>el rens mek uppm</t>
  </si>
  <si>
    <t>el gem förd rens mek</t>
  </si>
  <si>
    <t>El pump mek</t>
  </si>
  <si>
    <t>Förbrukning av el för produktion av mek-pumpmassa</t>
  </si>
  <si>
    <t>El tork mek</t>
  </si>
  <si>
    <t>Förbrukning av el för torkning av mek-avsalumassa</t>
  </si>
  <si>
    <t>q rens mek gem</t>
  </si>
  <si>
    <t>q fiber mek gem</t>
  </si>
  <si>
    <t>gemensam värmeförbrukning som fördelats till, eller med utgångspunkt från andel av uppmätt förbrukning hänförts till produktion av mek-pumpmassa (exkl. renseri)</t>
  </si>
  <si>
    <t>q tork mek gem</t>
  </si>
  <si>
    <t>gemensam värmeförbrukning som fördelats till eller uppskattas användas förfördelats till, eller med utgångspunkt från andel av uppmätt förbrukning hänförts till torkning av mek-pumpmassa till avsalumassa</t>
  </si>
  <si>
    <t>q rens mek</t>
  </si>
  <si>
    <t>q fiber mek</t>
  </si>
  <si>
    <t>Förbrukning av värme för produktion av mek-pumpmassa (exkl. renseri)</t>
  </si>
  <si>
    <t>q fiber mek uppm</t>
  </si>
  <si>
    <t>uppmätt förbrukning av primärvärme för produktion av mek-pumpmassa (exkl. renseri)</t>
  </si>
  <si>
    <t>q tork mek uppm</t>
  </si>
  <si>
    <t>uppmätt förbrukning av primärvärme för torkning av mek-avsalumassa</t>
  </si>
  <si>
    <t>Q pump mek</t>
  </si>
  <si>
    <t>Förbrukning av värme för produktion av mek-pumpmassa</t>
  </si>
  <si>
    <t>Q tork mek</t>
  </si>
  <si>
    <t>Förbrukning av värme för torkning av mek-avsalumassa</t>
  </si>
  <si>
    <t>q rens mek uppm</t>
  </si>
  <si>
    <t>q fiber mek→sek</t>
  </si>
  <si>
    <t>q tork mek→sek</t>
  </si>
  <si>
    <t>sekundärvärme som tillvaratas från torkningen av mek-avsalumassa</t>
  </si>
  <si>
    <t>q sek→fiber mek</t>
  </si>
  <si>
    <t>sekundärvärme som används för produktion av mek-pumpmassa (exkl. renseri)</t>
  </si>
  <si>
    <t>q sek→tork mek</t>
  </si>
  <si>
    <t xml:space="preserve">	sekundärvärme som används för torkning av mek-avsalumassa</t>
  </si>
  <si>
    <t>q rens mek→sek</t>
  </si>
  <si>
    <t>q sek→rens mek</t>
  </si>
  <si>
    <t>q gem förd fiber mek</t>
  </si>
  <si>
    <t xml:space="preserve">del av gemensam värmeförbrukning (inkl. friblåsning och gemensam balanspost) som kan fördelas till produktion av mek-pumpmassa (exkl. renseri) baserat på rimliga antaganden och uppskattningar </t>
  </si>
  <si>
    <t>q gem förd tork mek</t>
  </si>
  <si>
    <t>del av gemensam värmeförbrukning (inkl. friblåsning och gemensam balanspost) som kan fördelas till torkning av mek-pumpmassa till avsalumassa baserat på rimliga antaganden och uppskattningar</t>
  </si>
  <si>
    <t>q gem förd rens mek</t>
  </si>
  <si>
    <t>br pump mek panna</t>
  </si>
  <si>
    <t>bränsle som används för att producera värme i form av ånga eller hetvatten fördelad till produktion av mek-pumpmassa</t>
  </si>
  <si>
    <t>br tork mek panna</t>
  </si>
  <si>
    <t>bränsle som används för att producera värme i form av ånga eller hetvatten fördelad till torkning av mek-pumpmassa till avsalumassa</t>
  </si>
  <si>
    <t xml:space="preserve">br rens mek övr </t>
  </si>
  <si>
    <t>Br pump mek</t>
  </si>
  <si>
    <t>Br tork mek</t>
  </si>
  <si>
    <t>br tork mek dir</t>
  </si>
  <si>
    <t>drivmedel och övrigt bränsle som används i verksamhet som kan hänföras till produktionen av mek-pumpmassa (exkl. renseri)</t>
  </si>
  <si>
    <t>br tork mek övr</t>
  </si>
  <si>
    <t>br pump mek panna fos</t>
  </si>
  <si>
    <t>fossilt bränsle som används för att producera värme i form av ånga eller hetvatten fördelad till produktion av mek-pumpmassa</t>
  </si>
  <si>
    <t>br tork mek panna fos</t>
  </si>
  <si>
    <t>fossilt bränsle som används för att producera värme i form av ånga eller hetvatten fördelad till torkning av mek-pumpmassa till avsalumassa</t>
  </si>
  <si>
    <t>br rens mek övr fos</t>
  </si>
  <si>
    <t>br tork mek dir fos</t>
  </si>
  <si>
    <t>Br pump mek fos</t>
  </si>
  <si>
    <t>Förbrukning av fossilt bränsle för produktion av mek-pumpmassa</t>
  </si>
  <si>
    <t>Br tork mek fos</t>
  </si>
  <si>
    <t>Förbrukning av fossilt bränsle för torkning av mek-avsalumassa</t>
  </si>
  <si>
    <t>br fiber mek övr fos</t>
  </si>
  <si>
    <t>fossilt drivmedel och övrigt bränsle som används i verksamhet som kan hänföras till produktionen av mek-pumpmassa (exl. renseri)</t>
  </si>
  <si>
    <t>br tork mek övr fos</t>
  </si>
  <si>
    <t xml:space="preserve">ved/flis till produktion av mekmassa </t>
  </si>
  <si>
    <t>uppmätt elförbrukning vid renseriet, från att veden kommer in på vedgården tills att flisen separeras till produktion av sulfatmassa resp. mekmassa</t>
  </si>
  <si>
    <t>el använd för värmeproduktion fördelad till renseriet (mekmassans del)</t>
  </si>
  <si>
    <t>Förbrukning av el i renseriet (mekmassans del)</t>
  </si>
  <si>
    <t>mekmassaproduktionens del av renseriets uppmätta elförbrukning</t>
  </si>
  <si>
    <t>mekmassaproduktionens del av elförbrukning som fördelats till renseriet</t>
  </si>
  <si>
    <t>gemensam värmeförbrukning somfördelats till, eller med utgångspunkt från andel av uppmätt förbrukning hänförts till renseriet (mekmassans andel)</t>
  </si>
  <si>
    <t>Förbrukning av värme i renseriet (mekmassans del)</t>
  </si>
  <si>
    <t xml:space="preserve">uppmätt förbrukning av primärvärme vid renseriet, från att veden kommer in på vedgården tills att flisen separeras till produktion av sulfatmassa resp. mekmassa </t>
  </si>
  <si>
    <t>mekmassans del av uppmätt värmeförbrukning i renseriet</t>
  </si>
  <si>
    <t>mekmassans del av sekundärvärme som tillvaratas från renseriet</t>
  </si>
  <si>
    <t>mekmassans del av sekundärvärmeanvändning i renseriet</t>
  </si>
  <si>
    <t>mekmassans del av värmeförbrukning som fördelats till renseriet</t>
  </si>
  <si>
    <t>mekmassans del av drivmedel och övrigt bränsle som används i verksamhet som kan hänföras till renseri, t.ex. truckar på vedgården.</t>
  </si>
  <si>
    <t>bränsle som används för att producera direktvärme för torkning av mekmassa, t.ex. direkteldade flingtorkar</t>
  </si>
  <si>
    <t>mekmassans del av fossilt drivmedel och övrigt bränsle som används i verksamhet som kan hänföras till renseri, t.ex. truckar på vedgården.</t>
  </si>
  <si>
    <t>fossilt bränsle som används för att producera direktvärme för torkning av mekmassa, t.ex. direkteldade flingtorkar</t>
  </si>
  <si>
    <t>fossilt drivmedel och övrigt bränsle som används i verksamhet som kan hänföras till torkningen av mekmassa, t.ex. truckar för utlastning av avsalumassa</t>
  </si>
  <si>
    <t>gemensam elförbrukning som fördelats till, eller med utgångspunkt från andel av uppmätt förbrukning hänförts till renseriet (mekmassans andel)</t>
  </si>
  <si>
    <t>El tot uppm</t>
  </si>
  <si>
    <t>Total uppmätt förbrukning av el vid massabruket</t>
  </si>
  <si>
    <t>Special-produkter</t>
  </si>
  <si>
    <t>Vedråvara</t>
  </si>
  <si>
    <t>Enhet</t>
  </si>
  <si>
    <t>Sulfatmassa</t>
  </si>
  <si>
    <t>Mek massa</t>
  </si>
  <si>
    <t>Freeness</t>
  </si>
  <si>
    <t>ml CSF</t>
  </si>
  <si>
    <t>Q47</t>
  </si>
  <si>
    <t>V3</t>
  </si>
  <si>
    <t>Ved tot</t>
  </si>
  <si>
    <t>ved/flis totalt</t>
  </si>
  <si>
    <t>[Ange värden för huvudsakliga massatyper, eller intervall]</t>
  </si>
  <si>
    <t xml:space="preserve">gemensam elförbrukning som fördelats till, eller med utgångspunkt från andel av uppmätt förbrukning hänförts tilltorkning av sulfat-pumpmassa till avsalumassa </t>
  </si>
  <si>
    <t>Fyllmedel, bestrykning</t>
  </si>
  <si>
    <t>br bio eget fast</t>
  </si>
  <si>
    <t>Massatyp</t>
  </si>
  <si>
    <t>såld mekanisk massa (avsalumassa)</t>
  </si>
  <si>
    <r>
      <t xml:space="preserve">Ange vilken typ av vedråvara som används
</t>
    </r>
    <r>
      <rPr>
        <i/>
        <sz val="11"/>
        <rFont val="Calibri"/>
        <family val="2"/>
        <scheme val="minor"/>
      </rPr>
      <t>[Infoga rader efter behov (om flera typer av vedråvara)]</t>
    </r>
  </si>
  <si>
    <r>
      <t xml:space="preserve">Ange typ av massa
</t>
    </r>
    <r>
      <rPr>
        <i/>
        <sz val="11"/>
        <rFont val="Calibri"/>
        <family val="2"/>
        <scheme val="minor"/>
      </rPr>
      <t>[Infoga rader efter behov (om flera typer ]</t>
    </r>
  </si>
  <si>
    <r>
      <t xml:space="preserve">Ange vilken/vilka typ(er) av blekning som används, och massaproduktion av respektive typ
</t>
    </r>
    <r>
      <rPr>
        <i/>
        <sz val="11"/>
        <rFont val="Calibri"/>
        <family val="2"/>
        <scheme val="minor"/>
      </rPr>
      <t>[Infoga rader efter behov (om flera typer av blekning)]</t>
    </r>
  </si>
  <si>
    <r>
      <t xml:space="preserve">Ange massans freeness
</t>
    </r>
    <r>
      <rPr>
        <i/>
        <sz val="11"/>
        <rFont val="Calibri"/>
        <family val="2"/>
        <scheme val="minor"/>
      </rPr>
      <t>[Infoga rader efter behov (om flera massatyper]</t>
    </r>
  </si>
  <si>
    <r>
      <t xml:space="preserve">Ange vilken/vilka typ(er) av papper/kartong som produceras, och produktion av respektive typ
</t>
    </r>
    <r>
      <rPr>
        <i/>
        <sz val="11"/>
        <rFont val="Calibri"/>
        <family val="2"/>
        <scheme val="minor"/>
      </rPr>
      <t>[Infoga rader efter behov (om flera typer av papper/kartong)]</t>
    </r>
  </si>
  <si>
    <r>
      <t xml:space="preserve">Ange om fyllmedel eller bestrykningsmedel används (ökar pappersproduktionens vikt)
</t>
    </r>
    <r>
      <rPr>
        <i/>
        <sz val="11"/>
        <rFont val="Calibri"/>
        <family val="2"/>
        <scheme val="minor"/>
      </rPr>
      <t>[Infoga rader efter behov]</t>
    </r>
  </si>
  <si>
    <t>balanspost för el, avvikelse mellan tillförsel och uppmätt användning (inkluderar t.ex. förluster, ouppmätt förbrukning, mätfel osv)</t>
  </si>
  <si>
    <t>ånga ut från turbiner anslutna till sodapanna, fastbränslepanna eller annan panna (efter mottrycksproduktion)</t>
  </si>
  <si>
    <t>ånga från sodapanna, fastbränslepanna eller annan panna som är ansluten till mottrycksturbin, men där ångan inte går igenom mottrycksturbinen utan direktreduceras</t>
  </si>
  <si>
    <t>balanspost för primärvärme, avvikelse mellan produktion och uppmätt förbrukning (inkluderar förluster, ouppmätt förbrukning, mätfel osv)</t>
  </si>
  <si>
    <t>egengenererat biobränsle (t.ex. bark) som uppkommit utanför ”inre systemgräns” på bruket (dvs i vedhantering/renseri)</t>
  </si>
  <si>
    <t>bark, spån och annat fast biobränsle</t>
  </si>
  <si>
    <t>drivmedel och övrigt bränsle som används i verksamhet som kan hänföras till torkningen av mekmassa, t.ex. truckar för utlastning av avsalumassa</t>
  </si>
  <si>
    <t>br uppsl panna fos</t>
  </si>
  <si>
    <t>br pa panna fos</t>
  </si>
  <si>
    <t>GJ/ADt+ton</t>
  </si>
  <si>
    <t>GJ/ton</t>
  </si>
  <si>
    <t>GJ/Adt</t>
  </si>
  <si>
    <t>Fasta biobränslen - övergripande balans</t>
  </si>
  <si>
    <t>egen produktion av sulfat-pumpmassa (inkl avsalumassa)</t>
  </si>
  <si>
    <t>egen produktion av mek-pumpmassa (inkl avsalumassa)</t>
  </si>
  <si>
    <t>B36</t>
  </si>
  <si>
    <t>B37</t>
  </si>
  <si>
    <t>B38</t>
  </si>
  <si>
    <t>B39</t>
  </si>
  <si>
    <t>B40</t>
  </si>
  <si>
    <t>B41</t>
  </si>
  <si>
    <t>B42</t>
  </si>
  <si>
    <t>F30</t>
  </si>
  <si>
    <t>F31</t>
  </si>
  <si>
    <t>F32</t>
  </si>
  <si>
    <t>F33</t>
  </si>
  <si>
    <t>F34</t>
  </si>
  <si>
    <t>F35</t>
  </si>
  <si>
    <t>F36</t>
  </si>
  <si>
    <t>B43</t>
  </si>
  <si>
    <t>B44</t>
  </si>
  <si>
    <t>B45</t>
  </si>
  <si>
    <t>B46</t>
  </si>
  <si>
    <t>B47</t>
  </si>
  <si>
    <t>B48</t>
  </si>
  <si>
    <t>B49</t>
  </si>
  <si>
    <t>F37</t>
  </si>
  <si>
    <t>F38</t>
  </si>
  <si>
    <t>F39</t>
  </si>
  <si>
    <t>F40</t>
  </si>
  <si>
    <t>F41</t>
  </si>
  <si>
    <t>F42</t>
  </si>
  <si>
    <t>F43</t>
  </si>
  <si>
    <t>Br tot inre netto alt</t>
  </si>
  <si>
    <t>Br tork mek alt</t>
  </si>
  <si>
    <t>Br uppsl alt</t>
  </si>
  <si>
    <t>Br pa alt</t>
  </si>
  <si>
    <t>Br pump mek alt</t>
  </si>
  <si>
    <t>Br tork sulf alt</t>
  </si>
  <si>
    <t>Br tot fos alt</t>
  </si>
  <si>
    <t>Br pump sulf fos alt</t>
  </si>
  <si>
    <t>Br pump mek fos alt</t>
  </si>
  <si>
    <t>Br tork sulf fos alt</t>
  </si>
  <si>
    <t>Br tork mek fos alt</t>
  </si>
  <si>
    <t>Br uppsl fos alt</t>
  </si>
  <si>
    <t>Br pa fos alt</t>
  </si>
  <si>
    <t>Barr - rundved</t>
  </si>
  <si>
    <t>Barr - flis</t>
  </si>
  <si>
    <t>%</t>
  </si>
  <si>
    <t>pappersmassa</t>
  </si>
  <si>
    <t>ECF-blekt</t>
  </si>
  <si>
    <t>Oblekt</t>
  </si>
  <si>
    <t>Egenproducerade</t>
  </si>
  <si>
    <t>(Ungefärlig mängd eller andel av respektive råvara och fördelning per massatyp (om flera används)]</t>
  </si>
  <si>
    <t>CTMP</t>
  </si>
  <si>
    <t>Förpackningskartong</t>
  </si>
  <si>
    <t>Bestrykning</t>
  </si>
  <si>
    <t>Mottryck</t>
  </si>
  <si>
    <t>el producerad som mottryckskraft i turbin vid bruket</t>
  </si>
  <si>
    <t>el prod kond</t>
  </si>
  <si>
    <t>el producerad som kondenskraft i turbin vid bruket</t>
  </si>
  <si>
    <t>raffinörsånga som säljs till extern förbrukare eller dumpas</t>
  </si>
  <si>
    <t>q prim kond</t>
  </si>
  <si>
    <t>ånga som används för produktion av kondensel</t>
  </si>
  <si>
    <t>Kondens</t>
  </si>
  <si>
    <t>br ext prim värme</t>
  </si>
  <si>
    <t>η kond</t>
  </si>
  <si>
    <t>verkningsgrad för barkpanna eller annan energipanna som producerar ånga för kondenselproduktion. Om inte verkningsgraden är känd för pannan sätts den schablonmässigt till 85 %.</t>
  </si>
  <si>
    <t>bränsle som använts för att producera kondensel</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</si>
  <si>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</si>
  <si>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</si>
  <si>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</si>
  <si>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</si>
  <si>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br pump sulf dir</t>
  </si>
  <si>
    <t xml:space="preserve">br pump sulf övr </t>
  </si>
  <si>
    <t xml:space="preserve">br pump mek övr </t>
  </si>
  <si>
    <t>B50</t>
  </si>
  <si>
    <t>B51</t>
  </si>
  <si>
    <t>B52</t>
  </si>
  <si>
    <t>F44</t>
  </si>
  <si>
    <t>F45</t>
  </si>
  <si>
    <t>balanspost för sekundärvärme, avvikelse mellan summan av värmekällor och värmesänkor (hänförs till gemensamma funktioner)</t>
  </si>
  <si>
    <t>Br pump sulf alt</t>
  </si>
  <si>
    <t>Bränsle för produktion av sulfat-pumpmassa</t>
  </si>
  <si>
    <t>Bränsle för produktion av mek-pumpmassa</t>
  </si>
  <si>
    <t>Bränsle för torkning av sulfat-avsalumassa</t>
  </si>
  <si>
    <t>Bränsle för torkning av mek-avsalumassa</t>
  </si>
  <si>
    <t>Bränsle för uppslagning av inköpt massa</t>
  </si>
  <si>
    <t>Bränsle för själva pappersproduktionen</t>
  </si>
  <si>
    <t>E45</t>
  </si>
  <si>
    <t>E46</t>
  </si>
  <si>
    <t>B54</t>
  </si>
  <si>
    <t>B55</t>
  </si>
  <si>
    <t>F46</t>
  </si>
  <si>
    <t>F47</t>
  </si>
  <si>
    <t>F48</t>
  </si>
  <si>
    <t>F49</t>
  </si>
  <si>
    <t>Elförbrukning</t>
  </si>
  <si>
    <t>Bränsleförbrukning</t>
  </si>
  <si>
    <t>B53</t>
  </si>
  <si>
    <t>Fossil bränsleförbrukning</t>
  </si>
  <si>
    <t xml:space="preserve"> - totalt för bruket per producerad mängd slutprodukt</t>
  </si>
  <si>
    <t xml:space="preserve"> - per producerad mängd sulfat-pumpmassa</t>
  </si>
  <si>
    <t xml:space="preserve"> - för torkning, per producerad sulfat-avsalumassa</t>
  </si>
  <si>
    <t xml:space="preserve"> - per producerad mängd torkad sulfat-avsalumassa</t>
  </si>
  <si>
    <t xml:space="preserve"> - per producerad mängd mek-pumpmassa</t>
  </si>
  <si>
    <t xml:space="preserve"> - för torkning, per producerad mek-avsalumassa</t>
  </si>
  <si>
    <t xml:space="preserve"> - per producerad mängd torkad mek-avsalumassa</t>
  </si>
  <si>
    <t xml:space="preserve"> - per producerad mängd papper från pumpmassa</t>
  </si>
  <si>
    <t xml:space="preserve"> - per producerad mängd papper från inköpt massa</t>
  </si>
  <si>
    <t xml:space="preserve"> - för torkning, per producerad mängd sulfat-avsalumassa</t>
  </si>
  <si>
    <t xml:space="preserve"> - totalt per producerad mängd slutprodukt</t>
  </si>
  <si>
    <t xml:space="preserve"> - för torkning, per producerad mängd mek-avsalumassa</t>
  </si>
  <si>
    <t xml:space="preserve"> - för torkning, per mängd sulfat-avsalumassa</t>
  </si>
  <si>
    <t xml:space="preserve"> - för torkning, per mängd mek-avsalumassa</t>
  </si>
  <si>
    <t>E47</t>
  </si>
  <si>
    <t>E48</t>
  </si>
  <si>
    <t>E49</t>
  </si>
  <si>
    <t>E50</t>
  </si>
  <si>
    <t>E51</t>
  </si>
  <si>
    <t>E52</t>
  </si>
  <si>
    <t>E53</t>
  </si>
  <si>
    <t>E54</t>
  </si>
  <si>
    <t>E55</t>
  </si>
  <si>
    <t>E56</t>
  </si>
  <si>
    <t>el pump sulf</t>
  </si>
  <si>
    <t>el pump mek</t>
  </si>
  <si>
    <t>el pump sulf uppm</t>
  </si>
  <si>
    <t>el gem förd pump sulf</t>
  </si>
  <si>
    <t xml:space="preserve">el gem förd pump mek </t>
  </si>
  <si>
    <t>el pump sulf gem</t>
  </si>
  <si>
    <t>el pump mek gem</t>
  </si>
  <si>
    <t>el pump sulf br</t>
  </si>
  <si>
    <t>el pump mek br</t>
  </si>
  <si>
    <t>el pump mek uppm</t>
  </si>
  <si>
    <t>såld tallolja och terpentin</t>
  </si>
  <si>
    <t>br såld tall/terp</t>
  </si>
  <si>
    <t>alt 0</t>
  </si>
  <si>
    <t>alt 1</t>
  </si>
  <si>
    <t xml:space="preserve"> Ångproduktion från raffinörer</t>
  </si>
  <si>
    <t>Alt 0</t>
  </si>
  <si>
    <t>Alt 1</t>
  </si>
  <si>
    <t>Q49</t>
  </si>
  <si>
    <t>Q48</t>
  </si>
  <si>
    <t>Värmeförbrukning</t>
  </si>
  <si>
    <t>Versionsdatum för beräkningsmodellen</t>
  </si>
  <si>
    <t>INTEGRERAT MASSA- OCH PAPPERSBRUK</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</si>
  <si>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</si>
  <si>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</si>
  <si>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</si>
  <si>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el prod mot</t>
  </si>
  <si>
    <t xml:space="preserve">summa egenproducerad värme exklusive raffinörer </t>
  </si>
  <si>
    <t>Summa bränsle direktvärme, inre systemgräns (beräknad från bränsleslag)</t>
  </si>
  <si>
    <t>Summa bränsle direktvärme, inre systemgräns (beräknad från ändamål)</t>
  </si>
  <si>
    <t>Summa drivmedel och övrigt bränsle (beräknad från bränsleslag)</t>
  </si>
  <si>
    <t>Summa drivmedel och övrigt bränsle (beräknad från ändamål)</t>
  </si>
  <si>
    <t>η fos ext</t>
  </si>
  <si>
    <t xml:space="preserve"> - SULFATMASSA OCH MEKANISK MASSA + PAPPER</t>
  </si>
  <si>
    <t>202X-XX-XX</t>
  </si>
  <si>
    <t>202X</t>
  </si>
  <si>
    <t>Br sålt inre</t>
  </si>
  <si>
    <t>Summa sålt energiprod som uppkommit inom inre systemgräns</t>
  </si>
  <si>
    <t>br sålt övr sulf</t>
  </si>
  <si>
    <t>br sålt övr mek</t>
  </si>
  <si>
    <t>övriga sålda energiprodukter från sulfatmassaproduktionen ( t ex lignin, metanol), exkl. bark och annat biobränsle som uppkommeri vedhantering/renseri</t>
  </si>
  <si>
    <t>övriga sålda energiprodukter från mekmassaproduktionen, exkl. bark och annat biobränsle som uppkommeri vedhantering/renseri</t>
  </si>
  <si>
    <t>B56</t>
  </si>
  <si>
    <t>br kondensel</t>
  </si>
  <si>
    <t>br kondensel fos</t>
  </si>
  <si>
    <t>bränsle som använts för att producera primärvärme som levereras externt (t.ex. till fjärrvärme)</t>
  </si>
  <si>
    <t>Sålda energiprodukter, inre systemgräns</t>
  </si>
  <si>
    <t>Ange vilken typ av mekanisk massa som produceras</t>
  </si>
  <si>
    <t>Alternativ 0: all elanvändning, inkl el till elpannor</t>
  </si>
  <si>
    <t>Alternativ 1: exkl el som används i elpanna för värmeproduktion</t>
  </si>
  <si>
    <t xml:space="preserve"> - producerad raffinörsånga per producerad mängd mek-pumpmassa</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</si>
  <si>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</si>
  <si>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</si>
  <si>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</si>
  <si>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</si>
  <si>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</si>
  <si>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t>Alternativ 2: all användning av bränsle (inkl pannor), men yttre systemgräns (används ej för nyckeltal)</t>
  </si>
  <si>
    <t>Alternativ 1: enbart bränsle för annat ändamål än värmeproduktion i pannor, inre systemgräns</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</si>
  <si>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</si>
  <si>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produktion av papper och kartong (säljbar produkt, före ev konvertering)</t>
  </si>
  <si>
    <t>q prim såld</t>
  </si>
  <si>
    <t>q raff såld</t>
  </si>
  <si>
    <t>q sek såld</t>
  </si>
  <si>
    <t>br såld prim värme</t>
  </si>
  <si>
    <t>br såld prim värme fos</t>
  </si>
  <si>
    <t>el ext</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</si>
  <si>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</si>
  <si>
    <t>fossilt bränsle som använts för att producera primärvärme som levereras externt (t.ex. till fjärrvärme)</t>
  </si>
  <si>
    <t>fossilt bränsle som använts för att producera primärvärme som används vid bruket, men utanför systemgränsen för massa- och pappersproduktionen</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</si>
  <si>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</si>
  <si>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bränsle som använts för att producera primärvärme som används vid bruket, men utanför systemgränsen för massa- och pappersproduktionen</t>
  </si>
  <si>
    <t>sekundärvärme som används i egna processer utanför systemgränsen för konventionell massa-/pappersproduktion (t.ex. för papperskonvertering eller för upparbetning av biprodukter som lignin eller metanol)</t>
  </si>
  <si>
    <t>primärvärme som används i egna processer utanför systemgränsen för konventionell massa-/pappersproduktion (t.ex. för papperskonvertering eller för upparbetning av biprodukter som lignin eller metanol)</t>
  </si>
  <si>
    <t>el som används i egna processer utanför systemgränsen för konventionell massa-/pappersproduktion (t.ex. för papperskonvertering eller för upparbetning av biprodukter som lignin eller metanol)</t>
  </si>
  <si>
    <t xml:space="preserve"> Alternativ 0: värmeförbrukning inklusive raffinörsånga</t>
  </si>
  <si>
    <t xml:space="preserve"> Alternativ 1: exklusive raffinörsånga</t>
  </si>
  <si>
    <t>sekundärvärme som tillvaratas från produktionen av mek-pumpmassa (exkl. renseri). Exkl raffinörsånga</t>
  </si>
  <si>
    <t>ånga som produceras i ångomformare för ångåtervinning från raffinörer</t>
  </si>
  <si>
    <t>se PM avsnitt 2.4 'Värme' för ytterligare instruktioner om hur producerad och förbrukad ånga ska 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</si>
</sst>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32"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sz val="11"/>
      <color rgb="FF4B876C"/>
      <name val="Calibri"/>
      <family val="2"/>
      <scheme val="minor"/>
    </font>
    <font>
      <b/>
      <sz val="11"/>
      <color theme="3" tint="-0.249977111117893"/>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scheme val="minor"/>
    </font>
    <font>
      <b/>
      <i/>
      <sz val="11"/>
      <name val="Calibri"/>
      <family val="2"/>
      <scheme val="minor"/>
    </font>
    <font>
      <sz val="11"/>
      <color theme="1"/>
      <name val="Calibri"/>
      <family val="2"/>
    </font>
    <font>
      <b/>
      <sz val="11"/>
      <name val="Calibri"/>
      <family val="2"/>
      <scheme val="minor"/>
    </font>
    <font>
      <i/>
      <sz val="11"/>
      <color rgb="FFFF0000"/>
      <name val="Calibri"/>
      <family val="2"/>
      <scheme val="minor"/>
    </font>
    <font>
      <b/>
      <sz val="14"/>
      <color rgb="FFFF0000"/>
      <name val="Calibri"/>
      <family val="2"/>
      <scheme val="minor"/>
    </font>
    <font>
      <i/>
      <sz val="11"/>
      <name val="Calibri"/>
      <family val="2"/>
      <scheme val="minor"/>
    </font>
    <font>
      <b/>
      <sz val="16"/>
      <color rgb="FF0070C0"/>
      <name val="Calibri"/>
      <family val="2"/>
      <scheme val="minor"/>
    </font>
    <font>
      <b/>
      <i/>
      <sz val="14"/>
      <name val="Calibri"/>
      <family val="2"/>
      <scheme val="minor"/>
    </font>
    <font>
      <b/>
      <sz val="12"/>
      <color theme="1"/>
      <name val="Calibri"/>
      <family val="2"/>
      <scheme val="minor"/>
    </font>
    <font>
      <b/>
      <sz val="12"/>
      <name val="Calibri"/>
      <family val="2"/>
      <scheme val="minor"/>
    </font>
    <font>
      <b/>
      <sz val="16"/>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style="thin">
        <color theme="0" tint="-0.1499679555650502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342">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8" fillId="0" borderId="0" xfId="0" applyFont="1"/>
    <xf numFmtId="0" fontId="0" fillId="5" borderId="0" xfId="0" applyFill="1" applyAlignment="1">
      <alignment wrapText="1"/>
    </xf>
    <xf numFmtId="0" fontId="1" fillId="5" borderId="0" xfId="0" applyFont="1" applyFill="1" applyAlignment="1">
      <alignment wrapText="1"/>
    </xf>
    <xf numFmtId="0" fontId="2" fillId="0" borderId="0" xfId="0" applyFont="1" applyAlignment="1">
      <alignment wrapText="1"/>
    </xf>
    <xf numFmtId="0" fontId="5" fillId="0" borderId="0" xfId="0" applyFont="1" applyAlignment="1">
      <alignment wrapText="1"/>
    </xf>
    <xf numFmtId="0" fontId="6" fillId="0" borderId="1" xfId="0" applyFont="1" applyBorder="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0" fontId="7" fillId="0" borderId="0" xfId="0" applyFont="1" applyAlignment="1">
      <alignment wrapText="1"/>
    </xf>
    <xf numFmtId="0" fontId="17" fillId="0" borderId="0" xfId="0" applyFont="1" applyAlignment="1">
      <alignment wrapText="1"/>
    </xf>
    <xf numFmtId="0" fontId="17"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3" fontId="10" fillId="0" borderId="0" xfId="0" applyNumberFormat="1" applyFont="1" applyAlignment="1">
      <alignment wrapText="1"/>
    </xf>
    <xf numFmtId="0" fontId="4" fillId="0" borderId="0" xfId="0" applyFont="1" applyAlignment="1">
      <alignment wrapText="1"/>
    </xf>
    <xf numFmtId="0" fontId="0" fillId="0" borderId="9" xfId="0" applyBorder="1" applyAlignment="1">
      <alignment wrapText="1"/>
    </xf>
    <xf numFmtId="0" fontId="0" fillId="0" borderId="11" xfId="0" applyBorder="1" applyAlignment="1">
      <alignment wrapText="1"/>
    </xf>
    <xf numFmtId="0" fontId="0" fillId="0" borderId="13" xfId="0" applyBorder="1" applyAlignment="1">
      <alignment wrapText="1"/>
    </xf>
    <xf numFmtId="0" fontId="8" fillId="0" borderId="0" xfId="0" applyFont="1" applyAlignment="1">
      <alignment wrapText="1"/>
    </xf>
    <xf numFmtId="0" fontId="1" fillId="0" borderId="8" xfId="0" applyFont="1" applyBorder="1" applyAlignment="1">
      <alignment wrapText="1"/>
    </xf>
    <xf numFmtId="0" fontId="1" fillId="0" borderId="9" xfId="0" applyFont="1" applyBorder="1" applyAlignment="1">
      <alignment wrapText="1"/>
    </xf>
    <xf numFmtId="0" fontId="0" fillId="0" borderId="0" xfId="0" applyAlignment="1">
      <alignment horizontal="center" wrapText="1"/>
    </xf>
    <xf numFmtId="0" fontId="1" fillId="0" borderId="19" xfId="0" applyFont="1" applyBorder="1" applyAlignment="1">
      <alignment wrapText="1"/>
    </xf>
    <xf numFmtId="0" fontId="1" fillId="0" borderId="20" xfId="0" applyFont="1" applyBorder="1" applyAlignment="1">
      <alignment wrapText="1"/>
    </xf>
    <xf numFmtId="0" fontId="19" fillId="0" borderId="9" xfId="0" applyFont="1" applyBorder="1" applyAlignment="1">
      <alignment wrapText="1"/>
    </xf>
    <xf numFmtId="0" fontId="0" fillId="0" borderId="0" xfId="0" applyAlignment="1">
      <alignment horizontal="right" wrapText="1"/>
    </xf>
    <xf numFmtId="0" fontId="0" fillId="0" borderId="1" xfId="0" applyBorder="1" applyAlignment="1">
      <alignment horizontal="right" wrapText="1"/>
    </xf>
    <xf numFmtId="0" fontId="0" fillId="0" borderId="17" xfId="0" applyBorder="1" applyAlignment="1">
      <alignment wrapText="1"/>
    </xf>
    <xf numFmtId="0" fontId="8" fillId="0" borderId="1" xfId="0" applyFont="1" applyBorder="1" applyAlignment="1">
      <alignment horizontal="right" wrapText="1"/>
    </xf>
    <xf numFmtId="0" fontId="6" fillId="0" borderId="0" xfId="0" applyFont="1" applyAlignment="1">
      <alignment wrapText="1"/>
    </xf>
    <xf numFmtId="0" fontId="8" fillId="0" borderId="0" xfId="0" applyFont="1" applyAlignment="1">
      <alignment horizontal="right" wrapText="1"/>
    </xf>
    <xf numFmtId="2"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1" fontId="1" fillId="0" borderId="0" xfId="0" applyNumberFormat="1" applyFont="1" applyAlignment="1">
      <alignment wrapText="1"/>
    </xf>
    <xf numFmtId="0" fontId="1" fillId="0" borderId="19" xfId="0" applyFont="1" applyBorder="1" applyAlignment="1">
      <alignment horizontal="center" wrapText="1"/>
    </xf>
    <xf numFmtId="0" fontId="1" fillId="0" borderId="16" xfId="0" applyFont="1" applyBorder="1" applyAlignment="1">
      <alignment horizontal="center" wrapText="1"/>
    </xf>
    <xf numFmtId="0" fontId="0" fillId="0" borderId="11" xfId="0" applyBorder="1" applyAlignment="1">
      <alignment horizontal="center" wrapText="1"/>
    </xf>
    <xf numFmtId="164" fontId="0" fillId="4" borderId="12" xfId="0" applyNumberFormat="1" applyFill="1" applyBorder="1" applyAlignment="1">
      <alignment horizontal="right" wrapText="1"/>
    </xf>
    <xf numFmtId="164" fontId="0" fillId="4" borderId="14" xfId="0" applyNumberFormat="1" applyFill="1" applyBorder="1" applyAlignment="1">
      <alignment horizontal="right" wrapText="1"/>
    </xf>
    <xf numFmtId="164" fontId="0" fillId="4" borderId="10" xfId="0" applyNumberFormat="1" applyFill="1" applyBorder="1" applyAlignment="1">
      <alignment horizontal="right" wrapText="1"/>
    </xf>
    <xf numFmtId="1" fontId="0" fillId="4" borderId="12" xfId="0" applyNumberFormat="1" applyFill="1" applyBorder="1" applyAlignment="1">
      <alignment horizontal="right" wrapText="1"/>
    </xf>
    <xf numFmtId="1" fontId="0" fillId="4" borderId="14" xfId="0" applyNumberFormat="1" applyFill="1" applyBorder="1" applyAlignment="1">
      <alignment horizontal="right" wrapText="1"/>
    </xf>
    <xf numFmtId="0" fontId="0" fillId="0" borderId="8" xfId="0" applyBorder="1" applyAlignment="1">
      <alignment horizontal="center" wrapText="1"/>
    </xf>
    <xf numFmtId="3" fontId="10" fillId="3" borderId="10" xfId="0" applyNumberFormat="1" applyFont="1" applyFill="1" applyBorder="1" applyAlignment="1">
      <alignment horizontal="left" wrapText="1"/>
    </xf>
    <xf numFmtId="3" fontId="10" fillId="3" borderId="12" xfId="0" applyNumberFormat="1" applyFont="1" applyFill="1" applyBorder="1" applyAlignment="1">
      <alignment horizontal="left" wrapText="1"/>
    </xf>
    <xf numFmtId="0" fontId="0" fillId="0" borderId="13" xfId="0" applyBorder="1" applyAlignment="1">
      <alignment horizontal="center" wrapText="1"/>
    </xf>
    <xf numFmtId="3" fontId="0" fillId="4" borderId="14" xfId="0" applyNumberFormat="1" applyFill="1" applyBorder="1" applyAlignment="1">
      <alignment wrapText="1"/>
    </xf>
    <xf numFmtId="3" fontId="8" fillId="4" borderId="14" xfId="0" applyNumberFormat="1" applyFont="1" applyFill="1" applyBorder="1" applyAlignment="1">
      <alignment horizontal="right" wrapText="1"/>
    </xf>
    <xf numFmtId="3" fontId="10" fillId="3" borderId="14" xfId="0" applyNumberFormat="1" applyFont="1" applyFill="1" applyBorder="1" applyAlignment="1">
      <alignment horizontal="left" wrapText="1"/>
    </xf>
    <xf numFmtId="0" fontId="12" fillId="0" borderId="0" xfId="0" applyFont="1" applyAlignment="1">
      <alignment horizontal="left"/>
    </xf>
    <xf numFmtId="3" fontId="8" fillId="4" borderId="12" xfId="0" applyNumberFormat="1" applyFont="1" applyFill="1" applyBorder="1" applyAlignment="1">
      <alignment horizontal="right" wrapText="1"/>
    </xf>
    <xf numFmtId="3" fontId="0" fillId="4" borderId="12" xfId="0" applyNumberFormat="1" applyFill="1" applyBorder="1" applyAlignment="1">
      <alignment wrapText="1"/>
    </xf>
    <xf numFmtId="0" fontId="12" fillId="0" borderId="2" xfId="0" applyFont="1" applyBorder="1"/>
    <xf numFmtId="0" fontId="1" fillId="0" borderId="8" xfId="0" applyFont="1" applyBorder="1" applyAlignment="1">
      <alignment horizontal="center" wrapText="1"/>
    </xf>
    <xf numFmtId="0" fontId="1" fillId="0" borderId="10" xfId="0" applyFont="1" applyBorder="1" applyAlignment="1">
      <alignment horizontal="center" wrapText="1"/>
    </xf>
    <xf numFmtId="3" fontId="0" fillId="4" borderId="10" xfId="0" applyNumberFormat="1" applyFill="1" applyBorder="1" applyAlignment="1">
      <alignment horizontal="right" wrapText="1"/>
    </xf>
    <xf numFmtId="0" fontId="18" fillId="0" borderId="1" xfId="0" applyFont="1" applyBorder="1"/>
    <xf numFmtId="3" fontId="13" fillId="3" borderId="12" xfId="0" applyNumberFormat="1" applyFont="1" applyFill="1" applyBorder="1" applyAlignment="1">
      <alignment horizontal="left" wrapText="1"/>
    </xf>
    <xf numFmtId="4" fontId="10" fillId="3" borderId="12" xfId="0" applyNumberFormat="1" applyFont="1" applyFill="1" applyBorder="1" applyAlignment="1">
      <alignment horizontal="left" wrapText="1"/>
    </xf>
    <xf numFmtId="3" fontId="8" fillId="4" borderId="12" xfId="0" applyNumberFormat="1" applyFont="1" applyFill="1" applyBorder="1" applyAlignment="1">
      <alignment wrapText="1"/>
    </xf>
    <xf numFmtId="3" fontId="8" fillId="4" borderId="14" xfId="0" applyNumberFormat="1" applyFont="1" applyFill="1" applyBorder="1" applyAlignment="1">
      <alignment wrapText="1"/>
    </xf>
    <xf numFmtId="3" fontId="0" fillId="4" borderId="12" xfId="0" applyNumberFormat="1" applyFill="1" applyBorder="1" applyAlignment="1">
      <alignment horizontal="right" wrapText="1"/>
    </xf>
    <xf numFmtId="3" fontId="13" fillId="0" borderId="10" xfId="0" applyNumberFormat="1" applyFont="1" applyBorder="1" applyAlignment="1">
      <alignment wrapText="1"/>
    </xf>
    <xf numFmtId="3" fontId="8" fillId="2" borderId="14" xfId="0" applyNumberFormat="1" applyFont="1" applyFill="1" applyBorder="1" applyAlignment="1">
      <alignment wrapText="1"/>
    </xf>
    <xf numFmtId="3" fontId="8" fillId="0" borderId="10" xfId="0" applyNumberFormat="1" applyFont="1" applyBorder="1" applyAlignment="1">
      <alignment wrapText="1"/>
    </xf>
    <xf numFmtId="0" fontId="1" fillId="0" borderId="11" xfId="0" applyFont="1" applyBorder="1" applyAlignment="1">
      <alignment wrapText="1"/>
    </xf>
    <xf numFmtId="3" fontId="8" fillId="7" borderId="12" xfId="0" applyNumberFormat="1" applyFont="1" applyFill="1" applyBorder="1" applyAlignment="1">
      <alignment horizontal="left" wrapText="1"/>
    </xf>
    <xf numFmtId="4" fontId="13" fillId="3" borderId="12" xfId="0" applyNumberFormat="1" applyFont="1" applyFill="1" applyBorder="1" applyAlignment="1">
      <alignment horizontal="left" wrapText="1"/>
    </xf>
    <xf numFmtId="3" fontId="0" fillId="0" borderId="10" xfId="0" applyNumberFormat="1" applyBorder="1" applyAlignment="1">
      <alignment horizontal="right" wrapText="1"/>
    </xf>
    <xf numFmtId="0" fontId="0" fillId="0" borderId="21" xfId="0" applyBorder="1"/>
    <xf numFmtId="0" fontId="12" fillId="8" borderId="15" xfId="0" applyFont="1" applyFill="1" applyBorder="1"/>
    <xf numFmtId="0" fontId="0" fillId="0" borderId="0" xfId="0" applyAlignment="1">
      <alignment horizontal="left" wrapText="1"/>
    </xf>
    <xf numFmtId="0" fontId="0" fillId="0" borderId="19" xfId="0" applyBorder="1" applyAlignment="1">
      <alignment horizontal="center" wrapText="1"/>
    </xf>
    <xf numFmtId="0" fontId="0" fillId="0" borderId="20" xfId="0" applyBorder="1" applyAlignment="1">
      <alignment horizontal="right" wrapText="1"/>
    </xf>
    <xf numFmtId="3" fontId="0" fillId="4" borderId="16" xfId="0" applyNumberFormat="1" applyFill="1" applyBorder="1" applyAlignment="1">
      <alignment wrapText="1"/>
    </xf>
    <xf numFmtId="0" fontId="1" fillId="0" borderId="0" xfId="0" applyFont="1" applyAlignment="1">
      <alignment horizontal="center" wrapText="1"/>
    </xf>
    <xf numFmtId="4" fontId="8" fillId="4" borderId="12" xfId="0" applyNumberFormat="1" applyFont="1" applyFill="1" applyBorder="1" applyAlignment="1">
      <alignment horizontal="right" wrapText="1"/>
    </xf>
    <xf numFmtId="0" fontId="8" fillId="0" borderId="0" xfId="0" applyFont="1" applyAlignment="1">
      <alignment horizontal="left" wrapText="1"/>
    </xf>
    <xf numFmtId="0" fontId="0" fillId="0" borderId="1" xfId="0" applyBorder="1" applyAlignment="1">
      <alignment horizontal="center" wrapText="1"/>
    </xf>
    <xf numFmtId="0" fontId="0" fillId="2" borderId="1" xfId="0" applyFill="1" applyBorder="1" applyAlignment="1">
      <alignment horizontal="right" wrapText="1"/>
    </xf>
    <xf numFmtId="3" fontId="8" fillId="2" borderId="14" xfId="0" applyNumberFormat="1" applyFont="1" applyFill="1" applyBorder="1" applyAlignment="1">
      <alignment horizontal="right" wrapText="1"/>
    </xf>
    <xf numFmtId="0" fontId="21" fillId="0" borderId="9" xfId="0" applyFont="1" applyBorder="1" applyAlignment="1">
      <alignment wrapText="1"/>
    </xf>
    <xf numFmtId="0" fontId="0" fillId="0" borderId="1" xfId="0" applyBorder="1" applyAlignment="1">
      <alignment horizontal="left" wrapText="1"/>
    </xf>
    <xf numFmtId="0" fontId="0" fillId="0" borderId="8" xfId="0" applyBorder="1" applyAlignment="1">
      <alignment wrapText="1"/>
    </xf>
    <xf numFmtId="0" fontId="0" fillId="0" borderId="10" xfId="0" applyBorder="1" applyAlignment="1">
      <alignment wrapText="1"/>
    </xf>
    <xf numFmtId="0" fontId="0" fillId="0" borderId="20" xfId="0" applyBorder="1" applyAlignment="1">
      <alignment horizontal="left" wrapText="1"/>
    </xf>
    <xf numFmtId="0" fontId="1" fillId="0" borderId="0" xfId="0" applyFont="1"/>
    <xf numFmtId="0" fontId="21" fillId="0" borderId="9" xfId="0" applyFont="1" applyBorder="1" applyAlignment="1">
      <alignment horizontal="left" wrapText="1"/>
    </xf>
    <xf numFmtId="0" fontId="1" fillId="0" borderId="20" xfId="0" applyFont="1" applyBorder="1" applyAlignment="1">
      <alignment horizontal="center" wrapText="1"/>
    </xf>
    <xf numFmtId="0" fontId="0" fillId="0" borderId="12" xfId="0" applyBorder="1" applyAlignment="1">
      <alignment wrapText="1"/>
    </xf>
    <xf numFmtId="3" fontId="13" fillId="0" borderId="0" xfId="0" applyNumberFormat="1" applyFont="1" applyAlignment="1">
      <alignment wrapText="1"/>
    </xf>
    <xf numFmtId="0" fontId="8" fillId="0" borderId="0" xfId="0" applyFont="1" applyAlignment="1">
      <alignment horizontal="center" wrapText="1"/>
    </xf>
    <xf numFmtId="0" fontId="9" fillId="0" borderId="0" xfId="0" applyFont="1" applyAlignment="1">
      <alignment horizontal="left" wrapText="1"/>
    </xf>
    <xf numFmtId="3" fontId="10" fillId="0" borderId="22" xfId="0" applyNumberFormat="1" applyFont="1" applyBorder="1" applyAlignment="1">
      <alignment horizontal="left" wrapText="1"/>
    </xf>
    <xf numFmtId="0" fontId="0" fillId="0" borderId="23" xfId="0" applyBorder="1" applyAlignment="1">
      <alignment wrapText="1"/>
    </xf>
    <xf numFmtId="0" fontId="1" fillId="9" borderId="24" xfId="2" applyFont="1" applyBorder="1"/>
    <xf numFmtId="0" fontId="1" fillId="0" borderId="0" xfId="0" quotePrefix="1" applyFont="1"/>
    <xf numFmtId="0" fontId="0" fillId="0" borderId="12" xfId="0" applyBorder="1"/>
    <xf numFmtId="0" fontId="1" fillId="0" borderId="25" xfId="2" applyFont="1" applyFill="1" applyBorder="1"/>
    <xf numFmtId="3" fontId="10" fillId="0" borderId="25" xfId="0" applyNumberFormat="1" applyFont="1" applyBorder="1" applyAlignment="1">
      <alignment horizontal="left" wrapText="1"/>
    </xf>
    <xf numFmtId="0" fontId="1" fillId="0" borderId="0" xfId="2" applyFont="1" applyFill="1" applyBorder="1"/>
    <xf numFmtId="0" fontId="0" fillId="0" borderId="26" xfId="0" applyBorder="1"/>
    <xf numFmtId="0" fontId="0" fillId="0" borderId="27" xfId="0" applyBorder="1" applyAlignment="1">
      <alignment wrapText="1"/>
    </xf>
    <xf numFmtId="0" fontId="12" fillId="8" borderId="15" xfId="0" applyFont="1" applyFill="1" applyBorder="1" applyAlignment="1">
      <alignment horizontal="left"/>
    </xf>
    <xf numFmtId="0" fontId="9" fillId="0" borderId="0" xfId="0" applyFont="1" applyAlignment="1">
      <alignment wrapText="1"/>
    </xf>
    <xf numFmtId="0" fontId="13" fillId="3" borderId="12" xfId="0" applyFont="1" applyFill="1" applyBorder="1" applyAlignment="1">
      <alignment horizontal="left" wrapText="1"/>
    </xf>
    <xf numFmtId="0" fontId="22" fillId="0" borderId="1" xfId="0" applyFont="1" applyBorder="1" applyAlignment="1">
      <alignment wrapText="1"/>
    </xf>
    <xf numFmtId="0" fontId="22" fillId="0" borderId="0" xfId="0" applyFont="1" applyAlignment="1">
      <alignment wrapText="1"/>
    </xf>
    <xf numFmtId="1" fontId="0" fillId="4" borderId="10" xfId="0" applyNumberFormat="1" applyFill="1" applyBorder="1" applyAlignment="1">
      <alignment horizontal="right" wrapText="1"/>
    </xf>
    <xf numFmtId="0" fontId="0" fillId="0" borderId="9" xfId="0" applyBorder="1" applyAlignment="1">
      <alignment horizontal="left" wrapText="1"/>
    </xf>
    <xf numFmtId="3" fontId="8" fillId="4" borderId="10" xfId="0" applyNumberFormat="1" applyFont="1" applyFill="1" applyBorder="1" applyAlignment="1">
      <alignment horizontal="right" wrapText="1"/>
    </xf>
    <xf numFmtId="164" fontId="0" fillId="4" borderId="12" xfId="0" applyNumberFormat="1" applyFill="1" applyBorder="1" applyAlignment="1">
      <alignment wrapText="1"/>
    </xf>
    <xf numFmtId="1" fontId="0" fillId="4" borderId="12" xfId="0" applyNumberFormat="1" applyFill="1" applyBorder="1" applyAlignment="1">
      <alignment wrapText="1"/>
    </xf>
    <xf numFmtId="0" fontId="0" fillId="0" borderId="9" xfId="0" applyBorder="1" applyAlignment="1">
      <alignment horizontal="right" wrapText="1"/>
    </xf>
    <xf numFmtId="0" fontId="8" fillId="0" borderId="9" xfId="0" applyFont="1" applyBorder="1" applyAlignment="1">
      <alignment wrapText="1"/>
    </xf>
    <xf numFmtId="0" fontId="1" fillId="0" borderId="12" xfId="0" applyFont="1" applyBorder="1" applyAlignment="1">
      <alignment horizontal="center" wrapText="1"/>
    </xf>
    <xf numFmtId="49" fontId="1" fillId="3" borderId="18"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3" fontId="13" fillId="3" borderId="14" xfId="0" applyNumberFormat="1" applyFont="1" applyFill="1" applyBorder="1" applyAlignment="1">
      <alignment horizontal="left" wrapText="1"/>
    </xf>
    <xf numFmtId="0" fontId="9" fillId="0" borderId="0" xfId="0" applyFont="1"/>
    <xf numFmtId="0" fontId="1" fillId="9" borderId="22" xfId="2" applyFont="1" applyBorder="1"/>
    <xf numFmtId="0" fontId="0" fillId="0" borderId="29" xfId="0" applyBorder="1" applyAlignment="1">
      <alignment wrapText="1"/>
    </xf>
    <xf numFmtId="0" fontId="1" fillId="0" borderId="1" xfId="0" applyFont="1" applyBorder="1"/>
    <xf numFmtId="0" fontId="9" fillId="0" borderId="0" xfId="0" applyFont="1" applyAlignment="1">
      <alignment horizontal="center" wrapText="1"/>
    </xf>
    <xf numFmtId="0" fontId="17" fillId="0" borderId="0" xfId="0" applyFont="1"/>
    <xf numFmtId="3" fontId="17" fillId="0" borderId="0" xfId="0" applyNumberFormat="1" applyFont="1" applyAlignment="1">
      <alignment wrapText="1"/>
    </xf>
    <xf numFmtId="165" fontId="0" fillId="4" borderId="12" xfId="0" applyNumberFormat="1" applyFill="1" applyBorder="1" applyAlignment="1">
      <alignment wrapText="1"/>
    </xf>
    <xf numFmtId="0" fontId="23" fillId="0" borderId="1" xfId="0" quotePrefix="1" applyFont="1" applyBorder="1"/>
    <xf numFmtId="0" fontId="3" fillId="0" borderId="14" xfId="0" applyFont="1" applyBorder="1"/>
    <xf numFmtId="0" fontId="8" fillId="0" borderId="1" xfId="0" applyFont="1" applyBorder="1" applyAlignment="1">
      <alignment horizontal="left" wrapText="1"/>
    </xf>
    <xf numFmtId="0" fontId="25" fillId="0" borderId="0" xfId="0" applyFont="1"/>
    <xf numFmtId="0" fontId="8" fillId="0" borderId="8" xfId="0" applyFont="1" applyBorder="1" applyAlignment="1">
      <alignment horizont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8" fillId="0" borderId="1" xfId="0" applyFont="1" applyBorder="1" applyAlignment="1">
      <alignment wrapText="1"/>
    </xf>
    <xf numFmtId="0" fontId="24" fillId="0" borderId="12" xfId="0" applyFont="1" applyBorder="1"/>
    <xf numFmtId="0" fontId="9" fillId="0" borderId="22" xfId="2" applyFont="1" applyFill="1" applyBorder="1"/>
    <xf numFmtId="0" fontId="17" fillId="0" borderId="23" xfId="0" quotePrefix="1" applyFont="1" applyBorder="1" applyAlignment="1">
      <alignment wrapText="1"/>
    </xf>
    <xf numFmtId="3" fontId="13" fillId="0" borderId="22" xfId="0" applyNumberFormat="1" applyFont="1" applyBorder="1" applyAlignment="1">
      <alignment horizontal="left" wrapText="1"/>
    </xf>
    <xf numFmtId="3" fontId="13" fillId="3" borderId="24" xfId="0" applyNumberFormat="1" applyFont="1" applyFill="1" applyBorder="1" applyAlignment="1">
      <alignment horizontal="left" wrapText="1"/>
    </xf>
    <xf numFmtId="0" fontId="23" fillId="9" borderId="23" xfId="2" applyFont="1" applyBorder="1"/>
    <xf numFmtId="0" fontId="23" fillId="0" borderId="9"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left" wrapText="1"/>
    </xf>
    <xf numFmtId="0" fontId="26" fillId="0" borderId="12" xfId="0" applyFont="1" applyBorder="1" applyAlignment="1">
      <alignment horizontal="left" wrapText="1"/>
    </xf>
    <xf numFmtId="0" fontId="8" fillId="0" borderId="23" xfId="0" applyFont="1" applyBorder="1" applyAlignment="1">
      <alignment wrapText="1"/>
    </xf>
    <xf numFmtId="3" fontId="8" fillId="3" borderId="22" xfId="0" applyNumberFormat="1" applyFont="1" applyFill="1" applyBorder="1" applyAlignment="1">
      <alignment horizontal="left" wrapText="1"/>
    </xf>
    <xf numFmtId="0" fontId="23" fillId="0" borderId="0" xfId="0" applyFont="1"/>
    <xf numFmtId="0" fontId="8" fillId="0" borderId="12" xfId="0" applyFont="1" applyBorder="1" applyAlignment="1">
      <alignment wrapText="1"/>
    </xf>
    <xf numFmtId="3" fontId="8" fillId="0" borderId="22" xfId="0" applyNumberFormat="1" applyFont="1" applyBorder="1" applyAlignment="1">
      <alignment horizontal="left" wrapText="1"/>
    </xf>
    <xf numFmtId="3" fontId="8" fillId="0" borderId="24" xfId="0" applyNumberFormat="1" applyFont="1" applyBorder="1" applyAlignment="1">
      <alignment horizontal="left" wrapText="1"/>
    </xf>
    <xf numFmtId="0" fontId="23" fillId="9" borderId="24" xfId="2" applyFont="1" applyBorder="1"/>
    <xf numFmtId="0" fontId="23" fillId="0" borderId="0" xfId="0" quotePrefix="1" applyFont="1"/>
    <xf numFmtId="0" fontId="23" fillId="0" borderId="28" xfId="0" applyFont="1" applyBorder="1"/>
    <xf numFmtId="0" fontId="23" fillId="0" borderId="29" xfId="0" applyFont="1" applyBorder="1" applyAlignment="1">
      <alignment wrapText="1"/>
    </xf>
    <xf numFmtId="0" fontId="23" fillId="0" borderId="14" xfId="0" applyFont="1" applyBorder="1" applyAlignment="1">
      <alignment wrapText="1"/>
    </xf>
    <xf numFmtId="0" fontId="23" fillId="0" borderId="30" xfId="0" applyFont="1" applyBorder="1"/>
    <xf numFmtId="0" fontId="8" fillId="0" borderId="30" xfId="0" applyFont="1" applyBorder="1"/>
    <xf numFmtId="0" fontId="23" fillId="0" borderId="9" xfId="0" applyFont="1" applyBorder="1"/>
    <xf numFmtId="0" fontId="8" fillId="0" borderId="10" xfId="0" applyFont="1" applyBorder="1" applyAlignment="1">
      <alignment wrapText="1"/>
    </xf>
    <xf numFmtId="0" fontId="26" fillId="0" borderId="14" xfId="0" applyFont="1" applyBorder="1" applyAlignment="1">
      <alignment horizontal="left" wrapText="1"/>
    </xf>
    <xf numFmtId="0" fontId="8" fillId="0" borderId="23" xfId="0" quotePrefix="1" applyFont="1" applyBorder="1" applyAlignment="1">
      <alignment wrapText="1"/>
    </xf>
    <xf numFmtId="0" fontId="26" fillId="0" borderId="12" xfId="0" applyFont="1" applyBorder="1"/>
    <xf numFmtId="0" fontId="23" fillId="9" borderId="28" xfId="2" applyFont="1" applyBorder="1"/>
    <xf numFmtId="0" fontId="8" fillId="0" borderId="29" xfId="0" quotePrefix="1" applyFont="1" applyBorder="1" applyAlignment="1">
      <alignment wrapText="1"/>
    </xf>
    <xf numFmtId="0" fontId="23" fillId="0" borderId="1" xfId="0" applyFont="1" applyBorder="1"/>
    <xf numFmtId="0" fontId="26" fillId="0" borderId="14" xfId="0" applyFont="1" applyBorder="1"/>
    <xf numFmtId="0" fontId="8" fillId="0" borderId="25" xfId="0" applyFont="1" applyBorder="1"/>
    <xf numFmtId="0" fontId="1" fillId="9" borderId="31" xfId="2" applyFont="1" applyBorder="1" applyAlignment="1">
      <alignment horizontal="center" vertical="center"/>
    </xf>
    <xf numFmtId="0" fontId="8" fillId="0" borderId="20" xfId="0" applyFont="1" applyBorder="1" applyAlignment="1">
      <alignment horizontal="right" wrapText="1"/>
    </xf>
    <xf numFmtId="164" fontId="8" fillId="4" borderId="12" xfId="0" applyNumberFormat="1" applyFont="1" applyFill="1" applyBorder="1" applyAlignment="1">
      <alignment horizontal="right" wrapText="1"/>
    </xf>
    <xf numFmtId="0" fontId="13" fillId="3" borderId="0" xfId="0" quotePrefix="1" applyFont="1" applyFill="1"/>
    <xf numFmtId="3" fontId="13" fillId="3" borderId="0" xfId="0" applyNumberFormat="1" applyFont="1" applyFill="1" applyAlignment="1">
      <alignment horizontal="right" wrapText="1"/>
    </xf>
    <xf numFmtId="3" fontId="13" fillId="3" borderId="22" xfId="0" applyNumberFormat="1" applyFont="1" applyFill="1" applyBorder="1" applyAlignment="1">
      <alignment horizontal="right" wrapText="1"/>
    </xf>
    <xf numFmtId="3" fontId="13" fillId="3" borderId="28" xfId="0" applyNumberFormat="1" applyFont="1" applyFill="1" applyBorder="1" applyAlignment="1">
      <alignment horizontal="right" wrapText="1"/>
    </xf>
    <xf numFmtId="0" fontId="23" fillId="0" borderId="23" xfId="0" applyFont="1" applyBorder="1"/>
    <xf numFmtId="0" fontId="8" fillId="0" borderId="0" xfId="0" applyFont="1"/>
    <xf numFmtId="3" fontId="13" fillId="3" borderId="23" xfId="0" applyNumberFormat="1" applyFont="1" applyFill="1" applyBorder="1" applyAlignment="1">
      <alignment horizontal="right" wrapText="1"/>
    </xf>
    <xf numFmtId="0" fontId="3" fillId="0" borderId="12" xfId="0" applyFont="1" applyBorder="1"/>
    <xf numFmtId="165" fontId="13" fillId="3" borderId="25" xfId="0" applyNumberFormat="1" applyFont="1" applyFill="1" applyBorder="1" applyAlignment="1">
      <alignment horizontal="right" wrapText="1"/>
    </xf>
    <xf numFmtId="3" fontId="13" fillId="3" borderId="29" xfId="0" applyNumberFormat="1" applyFont="1" applyFill="1" applyBorder="1" applyAlignment="1">
      <alignment horizontal="right"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1" fillId="0" borderId="1" xfId="0" applyFont="1" applyBorder="1" applyAlignment="1">
      <alignment wrapText="1"/>
    </xf>
    <xf numFmtId="0" fontId="1" fillId="0" borderId="14" xfId="0" applyFont="1" applyBorder="1" applyAlignment="1">
      <alignment horizontal="center" wrapText="1"/>
    </xf>
    <xf numFmtId="3" fontId="9" fillId="0" borderId="0" xfId="0" applyNumberFormat="1" applyFont="1" applyAlignment="1">
      <alignment wrapText="1"/>
    </xf>
    <xf numFmtId="3" fontId="0" fillId="3" borderId="14" xfId="0" applyNumberFormat="1" applyFill="1" applyBorder="1" applyAlignment="1">
      <alignment wrapText="1"/>
    </xf>
    <xf numFmtId="2" fontId="9" fillId="0" borderId="0" xfId="0" applyNumberFormat="1" applyFont="1" applyAlignment="1">
      <alignment wrapText="1"/>
    </xf>
    <xf numFmtId="164" fontId="17" fillId="0" borderId="0" xfId="0" applyNumberFormat="1" applyFont="1" applyAlignment="1">
      <alignment wrapText="1"/>
    </xf>
    <xf numFmtId="4" fontId="9" fillId="0" borderId="0" xfId="0" applyNumberFormat="1" applyFont="1" applyAlignment="1">
      <alignment wrapText="1"/>
    </xf>
    <xf numFmtId="0" fontId="12" fillId="0" borderId="34" xfId="0" applyFont="1" applyBorder="1"/>
    <xf numFmtId="0" fontId="6" fillId="0" borderId="9" xfId="0" applyFont="1" applyBorder="1" applyAlignment="1">
      <alignment wrapText="1"/>
    </xf>
    <xf numFmtId="0" fontId="1" fillId="0" borderId="9" xfId="0" applyFont="1" applyBorder="1" applyAlignment="1">
      <alignment horizontal="center" wrapText="1"/>
    </xf>
    <xf numFmtId="0" fontId="19" fillId="0" borderId="20" xfId="0" applyFont="1" applyBorder="1" applyAlignment="1">
      <alignment horizontal="left" wrapText="1"/>
    </xf>
    <xf numFmtId="0" fontId="1" fillId="0" borderId="33" xfId="0" applyFont="1" applyBorder="1" applyAlignment="1">
      <alignment wrapText="1"/>
    </xf>
    <xf numFmtId="165" fontId="8" fillId="4" borderId="14" xfId="0" applyNumberFormat="1" applyFont="1" applyFill="1" applyBorder="1" applyAlignment="1">
      <alignment horizontal="right" wrapText="1"/>
    </xf>
    <xf numFmtId="165" fontId="13" fillId="3" borderId="12" xfId="0" applyNumberFormat="1" applyFont="1" applyFill="1" applyBorder="1" applyAlignment="1">
      <alignment horizontal="left" wrapText="1"/>
    </xf>
    <xf numFmtId="0" fontId="0" fillId="0" borderId="37" xfId="0" applyBorder="1" applyAlignment="1">
      <alignment wrapText="1"/>
    </xf>
    <xf numFmtId="0" fontId="1" fillId="0" borderId="39" xfId="0" applyFont="1" applyBorder="1" applyAlignment="1">
      <alignment wrapText="1"/>
    </xf>
    <xf numFmtId="0" fontId="1" fillId="0" borderId="1" xfId="0" applyFont="1" applyBorder="1" applyAlignment="1">
      <alignment horizontal="center" wrapText="1"/>
    </xf>
    <xf numFmtId="0" fontId="1" fillId="0" borderId="33" xfId="0" applyFont="1" applyBorder="1" applyAlignment="1">
      <alignment horizontal="center" wrapText="1"/>
    </xf>
    <xf numFmtId="0" fontId="17" fillId="0" borderId="0" xfId="0" applyFont="1" applyAlignment="1">
      <alignment vertical="center"/>
    </xf>
    <xf numFmtId="0" fontId="0" fillId="0" borderId="18" xfId="0" applyBorder="1" applyAlignment="1">
      <alignment wrapText="1"/>
    </xf>
    <xf numFmtId="0" fontId="1" fillId="0" borderId="4" xfId="0" applyFont="1" applyBorder="1" applyAlignment="1">
      <alignment horizontal="center" wrapText="1"/>
    </xf>
    <xf numFmtId="0" fontId="12" fillId="0" borderId="34" xfId="0" applyFont="1" applyBorder="1" applyAlignment="1">
      <alignment wrapText="1"/>
    </xf>
    <xf numFmtId="0" fontId="0" fillId="0" borderId="35" xfId="0" applyBorder="1" applyAlignment="1">
      <alignment wrapText="1"/>
    </xf>
    <xf numFmtId="0" fontId="17" fillId="0" borderId="35" xfId="0" applyFont="1" applyBorder="1" applyAlignment="1">
      <alignment vertical="center"/>
    </xf>
    <xf numFmtId="0" fontId="0" fillId="0" borderId="36" xfId="0" applyBorder="1" applyAlignment="1">
      <alignment wrapText="1"/>
    </xf>
    <xf numFmtId="0" fontId="23" fillId="0" borderId="12" xfId="0" applyFont="1" applyBorder="1" applyAlignment="1">
      <alignment wrapText="1"/>
    </xf>
    <xf numFmtId="0" fontId="1" fillId="0" borderId="14" xfId="0" applyFont="1" applyBorder="1" applyAlignment="1">
      <alignment wrapText="1"/>
    </xf>
    <xf numFmtId="0" fontId="23" fillId="0" borderId="6" xfId="0" applyFont="1" applyBorder="1" applyAlignment="1">
      <alignment wrapText="1"/>
    </xf>
    <xf numFmtId="0" fontId="1" fillId="0" borderId="6" xfId="0" applyFont="1" applyBorder="1" applyAlignment="1">
      <alignment horizontal="center" wrapText="1"/>
    </xf>
    <xf numFmtId="2" fontId="1" fillId="6" borderId="7" xfId="0" applyNumberFormat="1" applyFont="1" applyFill="1" applyBorder="1" applyAlignment="1">
      <alignment wrapText="1"/>
    </xf>
    <xf numFmtId="0" fontId="8" fillId="0" borderId="9" xfId="0" applyFont="1" applyBorder="1" applyAlignment="1">
      <alignment horizontal="right" wrapText="1"/>
    </xf>
    <xf numFmtId="0" fontId="23" fillId="0" borderId="14" xfId="0" applyFont="1" applyBorder="1" applyAlignment="1">
      <alignment horizontal="center" wrapText="1"/>
    </xf>
    <xf numFmtId="0" fontId="23" fillId="0" borderId="40" xfId="0" applyFont="1" applyBorder="1" applyAlignment="1">
      <alignment wrapText="1"/>
    </xf>
    <xf numFmtId="0" fontId="29" fillId="0" borderId="32" xfId="0" applyFont="1" applyBorder="1"/>
    <xf numFmtId="0" fontId="29" fillId="0" borderId="39" xfId="0" applyFont="1" applyBorder="1" applyAlignment="1">
      <alignment wrapText="1"/>
    </xf>
    <xf numFmtId="0" fontId="1" fillId="0" borderId="5" xfId="0" applyFont="1" applyBorder="1" applyAlignment="1">
      <alignment wrapText="1"/>
    </xf>
    <xf numFmtId="0" fontId="23" fillId="0" borderId="1" xfId="0" applyFont="1" applyBorder="1" applyAlignment="1">
      <alignment wrapText="1"/>
    </xf>
    <xf numFmtId="49" fontId="1" fillId="3" borderId="2" xfId="0" applyNumberFormat="1" applyFont="1" applyFill="1" applyBorder="1"/>
    <xf numFmtId="0" fontId="0" fillId="0" borderId="44" xfId="0" applyBorder="1" applyAlignment="1">
      <alignment wrapText="1"/>
    </xf>
    <xf numFmtId="0" fontId="12" fillId="0" borderId="8" xfId="0" applyFont="1" applyBorder="1" applyAlignment="1">
      <alignment horizontal="right" wrapText="1"/>
    </xf>
    <xf numFmtId="14" fontId="27" fillId="3" borderId="10" xfId="0" applyNumberFormat="1" applyFont="1" applyFill="1" applyBorder="1" applyAlignment="1">
      <alignment horizontal="right"/>
    </xf>
    <xf numFmtId="0" fontId="12" fillId="0" borderId="13" xfId="0" applyFont="1" applyBorder="1" applyAlignment="1">
      <alignment horizontal="right" wrapText="1"/>
    </xf>
    <xf numFmtId="0" fontId="27" fillId="3" borderId="14" xfId="0" applyFont="1" applyFill="1" applyBorder="1" applyAlignment="1">
      <alignment horizontal="right"/>
    </xf>
    <xf numFmtId="0" fontId="2" fillId="0" borderId="9" xfId="0" applyFont="1" applyBorder="1" applyAlignment="1">
      <alignment wrapText="1"/>
    </xf>
    <xf numFmtId="0" fontId="23" fillId="10" borderId="23" xfId="0" applyFont="1" applyFill="1" applyBorder="1"/>
    <xf numFmtId="3" fontId="13" fillId="3" borderId="0" xfId="0" applyNumberFormat="1" applyFont="1" applyFill="1"/>
    <xf numFmtId="0" fontId="23" fillId="0" borderId="40" xfId="0" applyFont="1" applyBorder="1" applyAlignment="1">
      <alignment horizontal="left" wrapText="1"/>
    </xf>
    <xf numFmtId="0" fontId="23" fillId="0" borderId="41" xfId="0" applyFont="1" applyBorder="1" applyAlignment="1">
      <alignment wrapText="1"/>
    </xf>
    <xf numFmtId="0" fontId="23" fillId="0" borderId="42" xfId="0" applyFont="1" applyBorder="1" applyAlignment="1">
      <alignment wrapText="1"/>
    </xf>
    <xf numFmtId="0" fontId="23" fillId="0" borderId="6" xfId="0" applyFont="1" applyBorder="1" applyAlignment="1">
      <alignment horizontal="center" wrapText="1"/>
    </xf>
    <xf numFmtId="0" fontId="23" fillId="0" borderId="1" xfId="0" applyFont="1" applyBorder="1" applyAlignment="1">
      <alignment horizontal="center" wrapText="1"/>
    </xf>
    <xf numFmtId="0" fontId="23" fillId="0" borderId="33" xfId="0" applyFont="1" applyBorder="1" applyAlignment="1">
      <alignment horizontal="center" wrapText="1"/>
    </xf>
    <xf numFmtId="2" fontId="23" fillId="6" borderId="12" xfId="0" applyNumberFormat="1" applyFont="1" applyFill="1" applyBorder="1" applyAlignment="1">
      <alignment wrapText="1"/>
    </xf>
    <xf numFmtId="2" fontId="23" fillId="6" borderId="4" xfId="0" applyNumberFormat="1" applyFont="1" applyFill="1" applyBorder="1" applyAlignment="1">
      <alignment wrapText="1"/>
    </xf>
    <xf numFmtId="2" fontId="23" fillId="6" borderId="12" xfId="0" applyNumberFormat="1" applyFont="1" applyFill="1" applyBorder="1" applyAlignment="1">
      <alignment horizontal="right" wrapText="1"/>
    </xf>
    <xf numFmtId="2" fontId="23" fillId="6" borderId="4" xfId="0" applyNumberFormat="1" applyFont="1" applyFill="1" applyBorder="1" applyAlignment="1">
      <alignment horizontal="right" wrapText="1"/>
    </xf>
    <xf numFmtId="0" fontId="23" fillId="6" borderId="4" xfId="0" applyFont="1" applyFill="1" applyBorder="1" applyAlignment="1">
      <alignment wrapText="1"/>
    </xf>
    <xf numFmtId="2" fontId="23" fillId="6" borderId="12" xfId="1" applyNumberFormat="1" applyFont="1" applyFill="1" applyBorder="1" applyAlignment="1">
      <alignment horizontal="right" wrapText="1"/>
    </xf>
    <xf numFmtId="2" fontId="23" fillId="6" borderId="4" xfId="1" applyNumberFormat="1" applyFont="1" applyFill="1" applyBorder="1" applyAlignment="1">
      <alignment horizontal="right" wrapText="1"/>
    </xf>
    <xf numFmtId="2" fontId="23" fillId="6" borderId="12" xfId="1" applyNumberFormat="1" applyFont="1" applyFill="1" applyBorder="1" applyAlignment="1">
      <alignment wrapText="1"/>
    </xf>
    <xf numFmtId="2" fontId="23" fillId="6" borderId="4" xfId="1" applyNumberFormat="1" applyFont="1" applyFill="1" applyBorder="1" applyAlignment="1">
      <alignment wrapText="1"/>
    </xf>
    <xf numFmtId="167" fontId="23" fillId="6" borderId="42" xfId="1" applyNumberFormat="1" applyFont="1" applyFill="1" applyBorder="1" applyAlignment="1">
      <alignment wrapText="1"/>
    </xf>
    <xf numFmtId="167" fontId="23" fillId="6" borderId="7" xfId="1" applyNumberFormat="1" applyFont="1" applyFill="1" applyBorder="1" applyAlignment="1">
      <alignment wrapText="1"/>
    </xf>
    <xf numFmtId="0" fontId="8" fillId="0" borderId="19" xfId="0" applyFont="1" applyBorder="1" applyAlignment="1">
      <alignment horizontal="center" wrapText="1"/>
    </xf>
    <xf numFmtId="0" fontId="8" fillId="0" borderId="20" xfId="0" applyFont="1" applyBorder="1" applyAlignment="1">
      <alignment wrapText="1"/>
    </xf>
    <xf numFmtId="0" fontId="8" fillId="0" borderId="4" xfId="0" applyFont="1" applyBorder="1" applyAlignment="1">
      <alignment wrapText="1"/>
    </xf>
    <xf numFmtId="0" fontId="23" fillId="0" borderId="41" xfId="0" applyFont="1" applyBorder="1" applyAlignment="1">
      <alignment horizontal="left" wrapText="1"/>
    </xf>
    <xf numFmtId="2" fontId="23" fillId="6" borderId="42" xfId="0" applyNumberFormat="1" applyFont="1" applyFill="1" applyBorder="1" applyAlignment="1">
      <alignment wrapText="1"/>
    </xf>
    <xf numFmtId="0" fontId="8" fillId="0" borderId="6" xfId="0" applyFont="1" applyBorder="1" applyAlignment="1">
      <alignment wrapText="1"/>
    </xf>
    <xf numFmtId="0" fontId="8" fillId="0" borderId="7" xfId="0" applyFont="1" applyBorder="1" applyAlignment="1">
      <alignment wrapText="1"/>
    </xf>
    <xf numFmtId="3" fontId="13" fillId="3" borderId="16" xfId="0" applyNumberFormat="1" applyFont="1" applyFill="1" applyBorder="1" applyAlignment="1">
      <alignment horizontal="left" wrapText="1"/>
    </xf>
    <xf numFmtId="0" fontId="8" fillId="0" borderId="1" xfId="0" applyFont="1" applyBorder="1" applyAlignment="1">
      <alignment horizontal="center" wrapText="1"/>
    </xf>
    <xf numFmtId="0" fontId="8" fillId="0" borderId="11" xfId="0" applyFont="1" applyBorder="1" applyAlignment="1">
      <alignment wrapText="1"/>
    </xf>
    <xf numFmtId="0" fontId="23" fillId="0" borderId="19" xfId="0" applyFont="1" applyBorder="1" applyAlignment="1">
      <alignment horizontal="center" wrapText="1"/>
    </xf>
    <xf numFmtId="0" fontId="23" fillId="0" borderId="20" xfId="0" applyFont="1" applyBorder="1" applyAlignment="1">
      <alignment wrapText="1"/>
    </xf>
    <xf numFmtId="0" fontId="23" fillId="0" borderId="13" xfId="0" applyFont="1" applyBorder="1" applyAlignment="1">
      <alignment horizontal="center" wrapText="1"/>
    </xf>
    <xf numFmtId="0" fontId="8" fillId="0" borderId="20" xfId="0" applyFont="1" applyBorder="1" applyAlignment="1">
      <alignment horizontal="left" wrapText="1"/>
    </xf>
    <xf numFmtId="0" fontId="8" fillId="0" borderId="11" xfId="0" applyFont="1" applyBorder="1" applyAlignment="1">
      <alignment horizontal="center" vertical="center" wrapText="1"/>
    </xf>
    <xf numFmtId="0" fontId="8" fillId="0" borderId="33" xfId="0" applyFont="1" applyBorder="1" applyAlignment="1">
      <alignment wrapText="1"/>
    </xf>
    <xf numFmtId="0" fontId="8" fillId="0" borderId="37" xfId="0" applyFont="1" applyBorder="1" applyAlignment="1">
      <alignment wrapText="1"/>
    </xf>
    <xf numFmtId="0" fontId="23" fillId="0" borderId="10" xfId="0" applyFont="1" applyBorder="1" applyAlignment="1">
      <alignment horizontal="center" wrapText="1"/>
    </xf>
    <xf numFmtId="0" fontId="23" fillId="0" borderId="4" xfId="0" applyFont="1" applyBorder="1" applyAlignment="1">
      <alignment horizontal="center" wrapText="1"/>
    </xf>
    <xf numFmtId="0" fontId="23" fillId="0" borderId="39" xfId="0" applyFont="1" applyBorder="1" applyAlignment="1">
      <alignment wrapText="1"/>
    </xf>
    <xf numFmtId="0" fontId="23" fillId="0" borderId="33" xfId="0" applyFont="1" applyBorder="1" applyAlignment="1">
      <alignment wrapText="1"/>
    </xf>
    <xf numFmtId="166" fontId="23" fillId="6" borderId="4" xfId="0" applyNumberFormat="1" applyFont="1" applyFill="1" applyBorder="1" applyAlignment="1">
      <alignment horizontal="right" wrapText="1"/>
    </xf>
    <xf numFmtId="2" fontId="23" fillId="6" borderId="7" xfId="0" applyNumberFormat="1" applyFont="1" applyFill="1" applyBorder="1" applyAlignment="1">
      <alignment wrapText="1"/>
    </xf>
    <xf numFmtId="4" fontId="8" fillId="4" borderId="14" xfId="0" applyNumberFormat="1" applyFont="1" applyFill="1" applyBorder="1" applyAlignment="1">
      <alignment wrapText="1"/>
    </xf>
    <xf numFmtId="165" fontId="8" fillId="4" borderId="12" xfId="0" applyNumberFormat="1" applyFont="1" applyFill="1" applyBorder="1" applyAlignment="1">
      <alignment horizontal="right" wrapText="1"/>
    </xf>
    <xf numFmtId="3" fontId="8" fillId="4" borderId="16" xfId="0" applyNumberFormat="1" applyFont="1" applyFill="1" applyBorder="1" applyAlignment="1">
      <alignment wrapText="1"/>
    </xf>
    <xf numFmtId="0" fontId="8" fillId="0" borderId="9" xfId="0" applyFont="1" applyBorder="1" applyAlignment="1">
      <alignment horizontal="center" wrapText="1"/>
    </xf>
    <xf numFmtId="165" fontId="8" fillId="4" borderId="14" xfId="0" applyNumberFormat="1" applyFont="1" applyFill="1" applyBorder="1" applyAlignment="1">
      <alignment wrapText="1"/>
    </xf>
    <xf numFmtId="1" fontId="8" fillId="4" borderId="12" xfId="0" applyNumberFormat="1" applyFont="1" applyFill="1" applyBorder="1" applyAlignment="1">
      <alignment horizontal="right" wrapText="1"/>
    </xf>
    <xf numFmtId="165" fontId="8" fillId="4" borderId="12" xfId="0" applyNumberFormat="1" applyFont="1" applyFill="1" applyBorder="1" applyAlignment="1">
      <alignment wrapText="1"/>
    </xf>
    <xf numFmtId="164" fontId="8" fillId="4" borderId="10" xfId="0" applyNumberFormat="1" applyFont="1" applyFill="1" applyBorder="1" applyAlignment="1">
      <alignment horizontal="right" wrapText="1"/>
    </xf>
    <xf numFmtId="0" fontId="28" fillId="0" borderId="37" xfId="0" applyFont="1" applyBorder="1" applyAlignment="1">
      <alignment wrapText="1"/>
    </xf>
    <xf numFmtId="0" fontId="23" fillId="0" borderId="4" xfId="0" applyFont="1" applyBorder="1" applyAlignment="1">
      <alignment horizontal="center"/>
    </xf>
    <xf numFmtId="0" fontId="1" fillId="5" borderId="0" xfId="0" applyFont="1" applyFill="1"/>
    <xf numFmtId="0" fontId="5" fillId="5" borderId="0" xfId="0" applyFont="1" applyFill="1" applyAlignment="1">
      <alignment wrapText="1"/>
    </xf>
    <xf numFmtId="0" fontId="12" fillId="0" borderId="19" xfId="0" applyFont="1" applyBorder="1" applyAlignment="1">
      <alignment horizontal="right" wrapText="1"/>
    </xf>
    <xf numFmtId="14" fontId="31" fillId="0" borderId="16" xfId="0" applyNumberFormat="1" applyFont="1" applyBorder="1"/>
    <xf numFmtId="0" fontId="23" fillId="0" borderId="3" xfId="0" applyFont="1" applyBorder="1"/>
    <xf numFmtId="0" fontId="23" fillId="0" borderId="32" xfId="0" applyFont="1" applyBorder="1"/>
    <xf numFmtId="0" fontId="26" fillId="0" borderId="0" xfId="0" applyFont="1" applyAlignment="1">
      <alignment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4" xfId="0" applyFont="1" applyFill="1" applyBorder="1" applyAlignment="1">
      <alignment horizontal="center" vertical="top"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0" xfId="0" applyFill="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 xfId="0" applyFill="1" applyBorder="1" applyAlignment="1">
      <alignment horizontal="left" wrapText="1"/>
    </xf>
    <xf numFmtId="0" fontId="0" fillId="3" borderId="14" xfId="0" applyFill="1" applyBorder="1" applyAlignment="1">
      <alignment horizontal="left" wrapText="1"/>
    </xf>
    <xf numFmtId="0" fontId="9" fillId="0" borderId="0" xfId="0" applyFont="1" applyAlignment="1">
      <alignment wrapText="1"/>
    </xf>
    <xf numFmtId="0" fontId="0" fillId="0" borderId="0" xfId="0"/>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1" fillId="0" borderId="43" xfId="0" applyFont="1" applyBorder="1" applyAlignment="1">
      <alignment wrapText="1"/>
    </xf>
    <xf numFmtId="0" fontId="0" fillId="0" borderId="9" xfId="0" applyBorder="1" applyAlignment="1">
      <alignment wrapText="1"/>
    </xf>
    <xf numFmtId="0" fontId="0" fillId="0" borderId="38" xfId="0" applyBorder="1" applyAlignment="1">
      <alignment wrapText="1"/>
    </xf>
    <xf numFmtId="0" fontId="23" fillId="0" borderId="32" xfId="0" applyFont="1" applyBorder="1" applyAlignment="1">
      <alignment wrapText="1"/>
    </xf>
    <xf numFmtId="0" fontId="8" fillId="0" borderId="1" xfId="0" applyFont="1" applyBorder="1" applyAlignment="1">
      <alignment wrapText="1"/>
    </xf>
    <xf numFmtId="0" fontId="8" fillId="0" borderId="33" xfId="0" applyFont="1" applyBorder="1" applyAlignment="1">
      <alignment wrapText="1"/>
    </xf>
    <xf numFmtId="0" fontId="30" fillId="0" borderId="32" xfId="0" applyFont="1" applyBorder="1" applyAlignment="1">
      <alignment wrapText="1"/>
    </xf>
    <xf numFmtId="0" fontId="21" fillId="0" borderId="19" xfId="0" applyFont="1" applyBorder="1" applyAlignment="1">
      <alignment wrapText="1"/>
    </xf>
    <xf numFmtId="0" fontId="0" fillId="0" borderId="20" xfId="0" applyBorder="1" applyAlignment="1">
      <alignment wrapText="1"/>
    </xf>
    <xf numFmtId="0" fontId="0" fillId="0" borderId="16" xfId="0" applyBorder="1" applyAlignment="1">
      <alignment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16" xfId="0" applyFont="1" applyBorder="1" applyAlignment="1">
      <alignment horizontal="left" wrapText="1"/>
    </xf>
    <xf numFmtId="0" fontId="30" fillId="0" borderId="43" xfId="0" applyFont="1" applyBorder="1" applyAlignment="1">
      <alignment horizontal="left" wrapText="1"/>
    </xf>
    <xf numFmtId="0" fontId="30" fillId="0" borderId="9" xfId="0" applyFont="1" applyBorder="1" applyAlignment="1">
      <alignment horizontal="left" wrapText="1"/>
    </xf>
    <xf numFmtId="0" fontId="30" fillId="0" borderId="38"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60"/>
  <sheetViews>
    <sheetView tabSelected="1" zoomScale="80" zoomScaleNormal="80" workbookViewId="0">
      <selection activeCell="E3" sqref="E3"/>
    </sheetView>
  </sheetViews>
  <sheetFormatPr defaultColWidth="8.85546875" defaultRowHeight="15" x14ac:dyDescent="0.25"/>
  <cols>
    <col min="1" max="1" width="13.28515625" style="2" customWidth="1"/>
    <col min="2" max="2" width="19.85546875" style="2" bestFit="1" customWidth="1"/>
    <col min="3" max="3" width="77.5703125" style="2" customWidth="1"/>
    <col min="4" max="4" width="19.28515625" style="2" customWidth="1"/>
    <col min="5" max="5" width="13.7109375" style="2" customWidth="1"/>
    <col min="6" max="6" width="17.42578125" style="2" customWidth="1"/>
    <col min="7" max="7" width="18.85546875" style="2" customWidth="1"/>
    <col min="8" max="8" width="62.140625" style="2" customWidth="1"/>
    <col min="9" max="9" width="13.7109375" style="2" customWidth="1"/>
    <col min="10" max="10" width="15" style="2" customWidth="1"/>
    <col min="11" max="11" width="56.42578125" style="2" customWidth="1"/>
    <col min="12" max="12" width="17.42578125" style="2" customWidth="1"/>
    <col min="13" max="16" width="12.28515625" style="2" customWidth="1"/>
    <col min="17" max="16384" width="8.85546875" style="2"/>
  </cols>
  <sheetData>
    <row r="1" spans="1:9" ht="21" x14ac:dyDescent="0.35">
      <c r="A1" s="26"/>
      <c r="C1" s="298" t="s">
        <v>805</v>
      </c>
      <c r="D1" s="299">
        <v>45846</v>
      </c>
    </row>
    <row r="2" spans="1:9" ht="24" x14ac:dyDescent="0.4">
      <c r="A2" s="1" t="s">
        <v>806</v>
      </c>
      <c r="C2" s="243"/>
      <c r="D2" s="20"/>
    </row>
    <row r="3" spans="1:9" ht="24" x14ac:dyDescent="0.4">
      <c r="A3" s="1" t="s">
        <v>817</v>
      </c>
      <c r="C3" s="8"/>
    </row>
    <row r="4" spans="1:9" ht="19.5" thickBot="1" x14ac:dyDescent="0.35">
      <c r="D4" s="145"/>
    </row>
    <row r="5" spans="1:9" ht="21.75" thickBot="1" x14ac:dyDescent="0.4">
      <c r="A5" s="75" t="s">
        <v>2</v>
      </c>
      <c r="B5" s="238"/>
      <c r="C5" s="76" t="s">
        <v>526</v>
      </c>
      <c r="G5" s="237" t="s">
        <v>0</v>
      </c>
      <c r="H5" s="122"/>
    </row>
    <row r="6" spans="1:9" ht="21.75" thickBot="1" x14ac:dyDescent="0.4">
      <c r="A6" s="107" t="s">
        <v>4</v>
      </c>
      <c r="B6" s="108"/>
      <c r="C6" s="109" t="s">
        <v>5</v>
      </c>
      <c r="G6" s="123" t="s">
        <v>1</v>
      </c>
      <c r="H6" s="124"/>
    </row>
    <row r="7" spans="1:9" x14ac:dyDescent="0.25">
      <c r="G7" s="125" t="s">
        <v>3</v>
      </c>
      <c r="H7" s="126"/>
      <c r="I7" s="9"/>
    </row>
    <row r="8" spans="1:9" ht="21" x14ac:dyDescent="0.35">
      <c r="C8" s="239" t="s">
        <v>807</v>
      </c>
      <c r="D8" s="240" t="s">
        <v>818</v>
      </c>
      <c r="G8" s="127" t="s">
        <v>6</v>
      </c>
      <c r="H8" s="128"/>
      <c r="I8" s="9"/>
    </row>
    <row r="9" spans="1:9" ht="21" x14ac:dyDescent="0.35">
      <c r="C9" s="241" t="s">
        <v>808</v>
      </c>
      <c r="D9" s="242" t="s">
        <v>819</v>
      </c>
      <c r="G9" s="129" t="s">
        <v>7</v>
      </c>
      <c r="H9" s="130"/>
      <c r="I9" s="9"/>
    </row>
    <row r="10" spans="1:9" ht="15.75" thickBot="1" x14ac:dyDescent="0.3">
      <c r="G10" s="131" t="s">
        <v>8</v>
      </c>
      <c r="H10" s="132"/>
      <c r="I10" s="9"/>
    </row>
    <row r="11" spans="1:9" ht="30" customHeight="1" x14ac:dyDescent="0.25">
      <c r="A11" s="321" t="s">
        <v>809</v>
      </c>
      <c r="B11" s="322"/>
      <c r="C11" s="322"/>
      <c r="D11" s="322"/>
      <c r="E11" s="322"/>
      <c r="F11" s="322"/>
      <c r="G11" s="106"/>
      <c r="H11" s="106"/>
      <c r="I11" s="9"/>
    </row>
    <row r="12" spans="1:9" x14ac:dyDescent="0.25">
      <c r="A12" s="110"/>
      <c r="B12"/>
      <c r="C12"/>
      <c r="D12"/>
      <c r="E12"/>
      <c r="F12"/>
      <c r="G12" s="106"/>
      <c r="H12" s="106"/>
      <c r="I12" s="9"/>
    </row>
    <row r="13" spans="1:9" ht="21" x14ac:dyDescent="0.35">
      <c r="A13" s="5" t="s">
        <v>9</v>
      </c>
      <c r="G13" s="92"/>
    </row>
    <row r="14" spans="1:9" x14ac:dyDescent="0.25">
      <c r="A14" s="27" t="s">
        <v>10</v>
      </c>
      <c r="B14" s="28"/>
      <c r="C14" s="28" t="s">
        <v>11</v>
      </c>
      <c r="D14" s="94"/>
      <c r="E14" s="94"/>
      <c r="F14" s="94" t="s">
        <v>12</v>
      </c>
      <c r="G14" s="94" t="s">
        <v>629</v>
      </c>
      <c r="H14" s="41" t="s">
        <v>13</v>
      </c>
    </row>
    <row r="15" spans="1:9" ht="30" x14ac:dyDescent="0.25">
      <c r="A15" s="23" t="s">
        <v>630</v>
      </c>
      <c r="B15" s="23" t="s">
        <v>628</v>
      </c>
      <c r="C15" s="23" t="s">
        <v>644</v>
      </c>
      <c r="D15" s="155" t="s">
        <v>706</v>
      </c>
      <c r="E15" s="156"/>
      <c r="F15" s="188">
        <v>70</v>
      </c>
      <c r="G15" s="168" t="s">
        <v>708</v>
      </c>
      <c r="H15" s="161" t="s">
        <v>713</v>
      </c>
    </row>
    <row r="16" spans="1:9" ht="30" x14ac:dyDescent="0.25">
      <c r="A16" s="23" t="s">
        <v>630</v>
      </c>
      <c r="B16" s="23" t="s">
        <v>628</v>
      </c>
      <c r="C16" s="23" t="s">
        <v>644</v>
      </c>
      <c r="D16" s="155" t="s">
        <v>707</v>
      </c>
      <c r="E16" s="156"/>
      <c r="F16" s="188">
        <v>20</v>
      </c>
      <c r="G16" s="168" t="s">
        <v>708</v>
      </c>
      <c r="H16" s="161" t="s">
        <v>713</v>
      </c>
    </row>
    <row r="17" spans="1:8" x14ac:dyDescent="0.25">
      <c r="A17" s="157"/>
      <c r="B17" s="157"/>
      <c r="C17" s="157"/>
      <c r="D17" s="158"/>
      <c r="E17" s="158"/>
      <c r="F17" s="158"/>
      <c r="G17" s="158"/>
      <c r="H17" s="159"/>
    </row>
    <row r="18" spans="1:8" ht="30" x14ac:dyDescent="0.25">
      <c r="A18" s="23" t="s">
        <v>630</v>
      </c>
      <c r="B18" s="23" t="s">
        <v>642</v>
      </c>
      <c r="C18" s="23" t="s">
        <v>645</v>
      </c>
      <c r="D18" s="155" t="s">
        <v>709</v>
      </c>
      <c r="E18" s="158"/>
      <c r="F18" s="189">
        <v>150000</v>
      </c>
      <c r="G18" s="160" t="s">
        <v>16</v>
      </c>
      <c r="H18" s="161"/>
    </row>
    <row r="19" spans="1:8" x14ac:dyDescent="0.25">
      <c r="A19" s="23"/>
      <c r="B19" s="23"/>
      <c r="C19" s="23"/>
      <c r="D19" s="157"/>
      <c r="E19" s="158"/>
      <c r="F19" s="97"/>
      <c r="G19" s="160"/>
      <c r="H19" s="161"/>
    </row>
    <row r="20" spans="1:8" ht="45" x14ac:dyDescent="0.25">
      <c r="A20" s="23" t="s">
        <v>630</v>
      </c>
      <c r="B20" s="23" t="s">
        <v>14</v>
      </c>
      <c r="C20" s="23" t="s">
        <v>646</v>
      </c>
      <c r="D20" s="155" t="s">
        <v>710</v>
      </c>
      <c r="E20" s="162"/>
      <c r="F20" s="190">
        <v>100000</v>
      </c>
      <c r="G20" s="164" t="s">
        <v>16</v>
      </c>
      <c r="H20" s="165"/>
    </row>
    <row r="21" spans="1:8" ht="45" x14ac:dyDescent="0.25">
      <c r="A21" s="23" t="s">
        <v>630</v>
      </c>
      <c r="B21" s="23" t="s">
        <v>14</v>
      </c>
      <c r="C21" s="23" t="s">
        <v>646</v>
      </c>
      <c r="D21" s="155" t="s">
        <v>711</v>
      </c>
      <c r="E21" s="162"/>
      <c r="F21" s="190">
        <v>50000</v>
      </c>
      <c r="G21" s="164" t="s">
        <v>16</v>
      </c>
      <c r="H21" s="165"/>
    </row>
    <row r="22" spans="1:8" x14ac:dyDescent="0.25">
      <c r="A22" s="23"/>
      <c r="B22" s="23"/>
      <c r="C22" s="23"/>
      <c r="D22" s="166"/>
      <c r="E22" s="162"/>
      <c r="F22" s="167"/>
      <c r="G22" s="164"/>
      <c r="H22" s="165"/>
    </row>
    <row r="23" spans="1:8" ht="30" x14ac:dyDescent="0.25">
      <c r="A23" s="23" t="s">
        <v>630</v>
      </c>
      <c r="B23" s="23" t="s">
        <v>17</v>
      </c>
      <c r="C23" s="23" t="s">
        <v>18</v>
      </c>
      <c r="D23" s="168" t="s">
        <v>712</v>
      </c>
      <c r="E23" s="162"/>
      <c r="F23" s="169" t="s">
        <v>19</v>
      </c>
      <c r="G23" s="169" t="s">
        <v>19</v>
      </c>
      <c r="H23" s="165"/>
    </row>
    <row r="24" spans="1:8" x14ac:dyDescent="0.25">
      <c r="A24" s="23"/>
      <c r="B24" s="23"/>
      <c r="C24" s="23"/>
      <c r="D24" s="23"/>
      <c r="E24" s="162"/>
      <c r="F24" s="184"/>
      <c r="G24" s="169"/>
      <c r="H24" s="165"/>
    </row>
    <row r="25" spans="1:8" s="110" customFormat="1" x14ac:dyDescent="0.25">
      <c r="A25" s="149" t="s">
        <v>630</v>
      </c>
      <c r="B25" s="149" t="s">
        <v>20</v>
      </c>
      <c r="C25" s="149" t="s">
        <v>21</v>
      </c>
      <c r="D25" s="170"/>
      <c r="E25" s="171"/>
      <c r="F25" s="191">
        <v>40</v>
      </c>
      <c r="G25" s="142" t="s">
        <v>19</v>
      </c>
      <c r="H25" s="172"/>
    </row>
    <row r="26" spans="1:8" x14ac:dyDescent="0.25">
      <c r="A26" s="120"/>
      <c r="B26" s="120"/>
      <c r="C26" s="120"/>
      <c r="D26" s="173"/>
      <c r="E26" s="173"/>
      <c r="F26" s="174"/>
      <c r="G26" s="175"/>
      <c r="H26" s="176"/>
    </row>
    <row r="27" spans="1:8" x14ac:dyDescent="0.25">
      <c r="A27" s="23" t="s">
        <v>631</v>
      </c>
      <c r="B27" s="23" t="s">
        <v>642</v>
      </c>
      <c r="C27" s="23" t="s">
        <v>831</v>
      </c>
      <c r="D27" s="244" t="s">
        <v>714</v>
      </c>
      <c r="E27" s="134"/>
      <c r="F27" s="245">
        <v>200000</v>
      </c>
      <c r="G27" s="164"/>
      <c r="H27" s="165"/>
    </row>
    <row r="28" spans="1:8" x14ac:dyDescent="0.25">
      <c r="A28" s="23"/>
      <c r="B28" s="23"/>
      <c r="C28" s="23"/>
      <c r="D28" s="192"/>
      <c r="E28" s="164"/>
      <c r="F28" s="193"/>
      <c r="G28" s="164"/>
      <c r="H28" s="165"/>
    </row>
    <row r="29" spans="1:8" s="14" customFormat="1" ht="30" x14ac:dyDescent="0.25">
      <c r="A29" s="23" t="s">
        <v>631</v>
      </c>
      <c r="B29" s="23" t="s">
        <v>628</v>
      </c>
      <c r="C29" s="23" t="s">
        <v>644</v>
      </c>
      <c r="D29" s="155" t="s">
        <v>706</v>
      </c>
      <c r="E29" s="158"/>
      <c r="F29" s="188">
        <v>100</v>
      </c>
      <c r="G29" s="168" t="s">
        <v>708</v>
      </c>
      <c r="H29" s="161" t="s">
        <v>713</v>
      </c>
    </row>
    <row r="30" spans="1:8" s="14" customFormat="1" x14ac:dyDescent="0.25">
      <c r="A30" s="157"/>
      <c r="B30" s="157"/>
      <c r="C30" s="157"/>
      <c r="D30" s="158"/>
      <c r="E30" s="158"/>
      <c r="F30" s="97"/>
      <c r="G30" s="158"/>
      <c r="H30" s="159"/>
    </row>
    <row r="31" spans="1:8" s="14" customFormat="1" ht="45" x14ac:dyDescent="0.25">
      <c r="A31" s="23" t="s">
        <v>631</v>
      </c>
      <c r="B31" s="23" t="s">
        <v>14</v>
      </c>
      <c r="C31" s="23" t="s">
        <v>646</v>
      </c>
      <c r="D31" s="155" t="s">
        <v>711</v>
      </c>
      <c r="E31" s="162"/>
      <c r="F31" s="163"/>
      <c r="G31" s="164" t="s">
        <v>16</v>
      </c>
      <c r="H31" s="165"/>
    </row>
    <row r="32" spans="1:8" s="14" customFormat="1" x14ac:dyDescent="0.25">
      <c r="A32" s="23"/>
      <c r="B32" s="23"/>
      <c r="C32" s="23"/>
      <c r="D32" s="166"/>
      <c r="E32" s="162"/>
      <c r="F32" s="167"/>
      <c r="G32" s="164"/>
      <c r="H32" s="165"/>
    </row>
    <row r="33" spans="1:8" s="14" customFormat="1" ht="30" x14ac:dyDescent="0.25">
      <c r="A33" s="23" t="s">
        <v>631</v>
      </c>
      <c r="B33" s="23" t="s">
        <v>17</v>
      </c>
      <c r="C33" s="23" t="s">
        <v>18</v>
      </c>
      <c r="D33" s="168" t="s">
        <v>15</v>
      </c>
      <c r="E33" s="162"/>
      <c r="F33" s="169" t="s">
        <v>19</v>
      </c>
      <c r="G33" s="169" t="s">
        <v>19</v>
      </c>
      <c r="H33" s="165"/>
    </row>
    <row r="34" spans="1:8" s="14" customFormat="1" x14ac:dyDescent="0.25">
      <c r="A34" s="23"/>
      <c r="B34" s="23"/>
      <c r="C34" s="23"/>
      <c r="D34" s="23"/>
      <c r="E34" s="162"/>
      <c r="F34" s="184"/>
      <c r="G34" s="169"/>
      <c r="H34" s="165"/>
    </row>
    <row r="35" spans="1:8" s="110" customFormat="1" ht="30" x14ac:dyDescent="0.25">
      <c r="A35" s="149" t="s">
        <v>631</v>
      </c>
      <c r="B35" s="149" t="s">
        <v>632</v>
      </c>
      <c r="C35" s="149" t="s">
        <v>647</v>
      </c>
      <c r="D35" s="170"/>
      <c r="E35" s="171"/>
      <c r="F35" s="191">
        <v>300</v>
      </c>
      <c r="G35" s="142" t="s">
        <v>633</v>
      </c>
      <c r="H35" s="177" t="s">
        <v>638</v>
      </c>
    </row>
    <row r="36" spans="1:8" s="14" customFormat="1" x14ac:dyDescent="0.25">
      <c r="A36" s="120"/>
      <c r="B36" s="120"/>
      <c r="C36" s="120"/>
      <c r="D36" s="173"/>
      <c r="E36" s="173"/>
      <c r="F36" s="174"/>
      <c r="G36" s="175"/>
      <c r="H36" s="176"/>
    </row>
    <row r="37" spans="1:8" ht="45" x14ac:dyDescent="0.25">
      <c r="A37" s="23" t="s">
        <v>22</v>
      </c>
      <c r="B37" s="23" t="s">
        <v>23</v>
      </c>
      <c r="C37" s="23" t="s">
        <v>648</v>
      </c>
      <c r="D37" s="155" t="s">
        <v>715</v>
      </c>
      <c r="E37" s="178"/>
      <c r="F37" s="194">
        <v>320000</v>
      </c>
      <c r="G37" s="164" t="s">
        <v>24</v>
      </c>
      <c r="H37" s="179"/>
    </row>
    <row r="38" spans="1:8" x14ac:dyDescent="0.25">
      <c r="A38" s="23"/>
      <c r="B38" s="23"/>
      <c r="C38" s="23"/>
      <c r="D38" s="23"/>
      <c r="E38" s="178"/>
      <c r="F38" s="164"/>
      <c r="G38" s="164"/>
      <c r="H38" s="179"/>
    </row>
    <row r="39" spans="1:8" ht="45" x14ac:dyDescent="0.25">
      <c r="A39" s="149" t="s">
        <v>22</v>
      </c>
      <c r="B39" s="149" t="s">
        <v>640</v>
      </c>
      <c r="C39" s="149" t="s">
        <v>649</v>
      </c>
      <c r="D39" s="180" t="s">
        <v>716</v>
      </c>
      <c r="E39" s="181"/>
      <c r="F39" s="191">
        <v>10000</v>
      </c>
      <c r="G39" s="182" t="s">
        <v>24</v>
      </c>
      <c r="H39" s="183"/>
    </row>
    <row r="40" spans="1:8" x14ac:dyDescent="0.25">
      <c r="A40" s="14"/>
      <c r="B40" s="14"/>
      <c r="C40" s="14"/>
      <c r="D40" s="151"/>
      <c r="E40" s="152"/>
      <c r="F40" s="153"/>
      <c r="G40" s="134"/>
      <c r="H40" s="150"/>
    </row>
    <row r="41" spans="1:8" ht="30" x14ac:dyDescent="0.25">
      <c r="A41" s="2" t="s">
        <v>25</v>
      </c>
      <c r="B41" s="2" t="s">
        <v>26</v>
      </c>
      <c r="C41" s="2" t="s">
        <v>27</v>
      </c>
      <c r="D41" s="135" t="s">
        <v>717</v>
      </c>
      <c r="E41" s="100"/>
      <c r="F41" s="190">
        <v>1</v>
      </c>
      <c r="G41" s="102" t="s">
        <v>19</v>
      </c>
      <c r="H41" s="95"/>
    </row>
    <row r="42" spans="1:8" ht="30" x14ac:dyDescent="0.25">
      <c r="A42" s="2" t="s">
        <v>25</v>
      </c>
      <c r="B42" s="2" t="s">
        <v>26</v>
      </c>
      <c r="C42" s="2" t="s">
        <v>27</v>
      </c>
      <c r="D42" s="135" t="s">
        <v>724</v>
      </c>
      <c r="E42" s="100"/>
      <c r="F42" s="190">
        <v>1</v>
      </c>
      <c r="G42" s="102" t="s">
        <v>19</v>
      </c>
      <c r="H42" s="95"/>
    </row>
    <row r="43" spans="1:8" x14ac:dyDescent="0.25">
      <c r="E43" s="100"/>
      <c r="F43" s="102"/>
      <c r="G43" s="102"/>
      <c r="H43" s="95"/>
    </row>
    <row r="44" spans="1:8" ht="30" x14ac:dyDescent="0.25">
      <c r="A44" s="2" t="s">
        <v>25</v>
      </c>
      <c r="B44" s="2" t="s">
        <v>28</v>
      </c>
      <c r="C44" s="2" t="s">
        <v>29</v>
      </c>
      <c r="E44" s="100"/>
      <c r="F44" s="196">
        <v>3.5</v>
      </c>
      <c r="G44" s="92" t="s">
        <v>30</v>
      </c>
      <c r="H44" s="195" t="s">
        <v>31</v>
      </c>
    </row>
    <row r="45" spans="1:8" ht="30" x14ac:dyDescent="0.25">
      <c r="A45" s="3" t="s">
        <v>25</v>
      </c>
      <c r="B45" s="3" t="s">
        <v>28</v>
      </c>
      <c r="C45" s="3" t="s">
        <v>29</v>
      </c>
      <c r="D45" s="3"/>
      <c r="E45" s="136"/>
      <c r="F45" s="197">
        <v>11</v>
      </c>
      <c r="G45" s="137" t="s">
        <v>30</v>
      </c>
      <c r="H45" s="143" t="s">
        <v>31</v>
      </c>
    </row>
    <row r="46" spans="1:8" x14ac:dyDescent="0.25">
      <c r="D46" s="99"/>
      <c r="E46" s="100"/>
      <c r="F46" s="153"/>
      <c r="G46" s="92"/>
      <c r="H46" s="103"/>
    </row>
    <row r="47" spans="1:8" ht="45" x14ac:dyDescent="0.25">
      <c r="A47" s="2" t="s">
        <v>627</v>
      </c>
      <c r="B47" s="2" t="s">
        <v>32</v>
      </c>
      <c r="C47" s="2" t="s">
        <v>33</v>
      </c>
      <c r="D47" s="168" t="s">
        <v>15</v>
      </c>
      <c r="E47" s="100"/>
      <c r="F47" s="154"/>
      <c r="G47" s="101" t="s">
        <v>15</v>
      </c>
      <c r="H47" s="103"/>
    </row>
    <row r="48" spans="1:8" x14ac:dyDescent="0.25">
      <c r="C48" s="17"/>
      <c r="D48" s="104"/>
      <c r="E48" s="100"/>
      <c r="F48" s="105"/>
      <c r="G48" s="106"/>
      <c r="H48" s="103"/>
    </row>
    <row r="49" spans="1:16" customFormat="1" ht="15" customHeight="1" x14ac:dyDescent="0.25">
      <c r="A49" s="323" t="s">
        <v>842</v>
      </c>
      <c r="B49" s="324"/>
      <c r="C49" s="324"/>
      <c r="D49" s="324"/>
      <c r="E49" s="324"/>
      <c r="F49" s="324"/>
      <c r="G49" s="324"/>
      <c r="H49" s="325"/>
      <c r="I49" s="2"/>
      <c r="J49" s="2"/>
      <c r="K49" s="2"/>
      <c r="L49" s="2"/>
      <c r="M49" s="2"/>
      <c r="N49" s="2"/>
      <c r="O49" s="2"/>
      <c r="P49" s="2"/>
    </row>
    <row r="50" spans="1:16" customFormat="1" x14ac:dyDescent="0.25">
      <c r="A50" s="303"/>
      <c r="B50" s="304"/>
      <c r="C50" s="304"/>
      <c r="D50" s="304"/>
      <c r="E50" s="304"/>
      <c r="F50" s="304"/>
      <c r="G50" s="304"/>
      <c r="H50" s="305"/>
      <c r="I50" s="2"/>
      <c r="J50" s="2"/>
      <c r="K50" s="2"/>
      <c r="L50" s="2"/>
      <c r="M50" s="2"/>
      <c r="N50" s="2"/>
      <c r="O50" s="2"/>
      <c r="P50" s="2"/>
    </row>
    <row r="51" spans="1:16" customFormat="1" x14ac:dyDescent="0.25">
      <c r="A51" s="306"/>
      <c r="B51" s="307"/>
      <c r="C51" s="307"/>
      <c r="D51" s="307"/>
      <c r="E51" s="307"/>
      <c r="F51" s="307"/>
      <c r="G51" s="307"/>
      <c r="H51" s="308"/>
      <c r="I51" s="2"/>
      <c r="J51" s="2"/>
      <c r="K51" s="2"/>
      <c r="L51" s="2"/>
      <c r="M51" s="2"/>
      <c r="N51" s="2"/>
      <c r="O51" s="2"/>
      <c r="P51" s="2"/>
    </row>
    <row r="52" spans="1:16" customFormat="1" x14ac:dyDescent="0.25">
      <c r="A52" s="306"/>
      <c r="B52" s="307"/>
      <c r="C52" s="307"/>
      <c r="D52" s="307"/>
      <c r="E52" s="307"/>
      <c r="F52" s="307"/>
      <c r="G52" s="307"/>
      <c r="H52" s="308"/>
      <c r="I52" s="2"/>
      <c r="J52" s="2"/>
      <c r="K52" s="2"/>
      <c r="L52" s="2"/>
      <c r="M52" s="2"/>
      <c r="N52" s="2"/>
      <c r="O52" s="2"/>
      <c r="P52" s="2"/>
    </row>
    <row r="53" spans="1:16" customFormat="1" x14ac:dyDescent="0.25">
      <c r="A53" s="309"/>
      <c r="B53" s="310"/>
      <c r="C53" s="310"/>
      <c r="D53" s="310"/>
      <c r="E53" s="310"/>
      <c r="F53" s="310"/>
      <c r="G53" s="310"/>
      <c r="H53" s="311"/>
      <c r="I53" s="2"/>
      <c r="J53" s="2"/>
      <c r="K53" s="2"/>
      <c r="L53" s="2"/>
      <c r="M53" s="2"/>
      <c r="N53" s="2"/>
      <c r="O53" s="2"/>
      <c r="P53" s="2"/>
    </row>
    <row r="54" spans="1:16" x14ac:dyDescent="0.25">
      <c r="G54" s="92"/>
      <c r="H54" s="9"/>
      <c r="I54" s="9"/>
    </row>
    <row r="55" spans="1:16" x14ac:dyDescent="0.25">
      <c r="A55" s="6"/>
      <c r="B55" s="6"/>
      <c r="C55" s="6"/>
      <c r="D55" s="6"/>
      <c r="E55" s="6"/>
      <c r="F55" s="6"/>
      <c r="G55" s="296"/>
      <c r="H55" s="297"/>
      <c r="I55" s="297"/>
      <c r="J55" s="6"/>
      <c r="K55" s="6"/>
      <c r="L55" s="6"/>
      <c r="M55" s="6"/>
      <c r="N55" s="6"/>
      <c r="O55" s="6"/>
      <c r="P55" s="6"/>
    </row>
    <row r="56" spans="1:16" ht="21" x14ac:dyDescent="0.35">
      <c r="A56" s="5" t="s">
        <v>34</v>
      </c>
      <c r="D56" s="139"/>
      <c r="E56" s="34"/>
      <c r="F56" s="98"/>
      <c r="G56" s="34"/>
    </row>
    <row r="57" spans="1:16" x14ac:dyDescent="0.25">
      <c r="A57" s="24" t="s">
        <v>35</v>
      </c>
      <c r="B57" s="25" t="s">
        <v>36</v>
      </c>
      <c r="C57" s="25"/>
      <c r="D57" s="185" t="s">
        <v>15</v>
      </c>
    </row>
    <row r="58" spans="1:16" x14ac:dyDescent="0.25">
      <c r="A58" s="42" t="s">
        <v>40</v>
      </c>
      <c r="B58" s="2" t="s">
        <v>41</v>
      </c>
      <c r="C58" s="2" t="s">
        <v>42</v>
      </c>
      <c r="D58" s="50">
        <v>330000</v>
      </c>
      <c r="F58" s="139"/>
    </row>
    <row r="59" spans="1:16" x14ac:dyDescent="0.25">
      <c r="A59" s="42" t="s">
        <v>43</v>
      </c>
      <c r="B59" s="2" t="s">
        <v>528</v>
      </c>
      <c r="C59" s="2" t="s">
        <v>606</v>
      </c>
      <c r="D59" s="50">
        <v>220000</v>
      </c>
      <c r="F59" s="139"/>
    </row>
    <row r="60" spans="1:16" x14ac:dyDescent="0.25">
      <c r="A60" s="147" t="s">
        <v>635</v>
      </c>
      <c r="B60" s="23" t="s">
        <v>636</v>
      </c>
      <c r="C60" s="23" t="s">
        <v>637</v>
      </c>
      <c r="D60" s="56">
        <f>D58+D59</f>
        <v>550000</v>
      </c>
      <c r="F60" s="139"/>
    </row>
    <row r="61" spans="1:16" x14ac:dyDescent="0.25">
      <c r="A61" s="42"/>
      <c r="D61" s="121" t="s">
        <v>16</v>
      </c>
    </row>
    <row r="62" spans="1:16" x14ac:dyDescent="0.25">
      <c r="A62" s="42" t="s">
        <v>37</v>
      </c>
      <c r="B62" s="2" t="s">
        <v>38</v>
      </c>
      <c r="C62" s="23" t="s">
        <v>663</v>
      </c>
      <c r="D62" s="50">
        <v>150000</v>
      </c>
    </row>
    <row r="63" spans="1:16" x14ac:dyDescent="0.25">
      <c r="A63" s="42" t="s">
        <v>39</v>
      </c>
      <c r="B63" s="2" t="s">
        <v>527</v>
      </c>
      <c r="C63" s="23" t="s">
        <v>664</v>
      </c>
      <c r="D63" s="50">
        <v>200000</v>
      </c>
    </row>
    <row r="64" spans="1:16" x14ac:dyDescent="0.25">
      <c r="A64" s="42"/>
      <c r="D64" s="121" t="s">
        <v>16</v>
      </c>
    </row>
    <row r="65" spans="1:16" x14ac:dyDescent="0.25">
      <c r="A65" s="42" t="s">
        <v>44</v>
      </c>
      <c r="B65" s="2" t="s">
        <v>45</v>
      </c>
      <c r="C65" s="23" t="s">
        <v>46</v>
      </c>
      <c r="D65" s="50">
        <v>50000</v>
      </c>
      <c r="F65" s="139"/>
    </row>
    <row r="66" spans="1:16" x14ac:dyDescent="0.25">
      <c r="A66" s="42" t="s">
        <v>47</v>
      </c>
      <c r="B66" s="2" t="s">
        <v>529</v>
      </c>
      <c r="C66" s="23" t="s">
        <v>643</v>
      </c>
      <c r="D66" s="50">
        <v>10000</v>
      </c>
      <c r="F66" s="139"/>
    </row>
    <row r="67" spans="1:16" x14ac:dyDescent="0.25">
      <c r="A67" s="42" t="s">
        <v>48</v>
      </c>
      <c r="B67" s="2" t="s">
        <v>49</v>
      </c>
      <c r="C67" s="2" t="s">
        <v>50</v>
      </c>
      <c r="D67" s="50">
        <v>20000</v>
      </c>
    </row>
    <row r="68" spans="1:16" x14ac:dyDescent="0.25">
      <c r="A68" s="42"/>
      <c r="D68" s="121" t="s">
        <v>24</v>
      </c>
    </row>
    <row r="69" spans="1:16" x14ac:dyDescent="0.25">
      <c r="A69" s="42" t="s">
        <v>51</v>
      </c>
      <c r="B69" s="2" t="s">
        <v>52</v>
      </c>
      <c r="C69" s="23" t="s">
        <v>843</v>
      </c>
      <c r="D69" s="50">
        <v>320000</v>
      </c>
    </row>
    <row r="70" spans="1:16" x14ac:dyDescent="0.25">
      <c r="A70" s="42"/>
      <c r="D70" s="121" t="s">
        <v>56</v>
      </c>
    </row>
    <row r="71" spans="1:16" x14ac:dyDescent="0.25">
      <c r="A71" s="51" t="s">
        <v>53</v>
      </c>
      <c r="B71" s="3" t="s">
        <v>54</v>
      </c>
      <c r="C71" s="3" t="s">
        <v>55</v>
      </c>
      <c r="D71" s="52">
        <f>D65+D66+D69</f>
        <v>380000</v>
      </c>
    </row>
    <row r="72" spans="1:16" x14ac:dyDescent="0.25">
      <c r="D72" s="18"/>
      <c r="E72" s="19"/>
    </row>
    <row r="73" spans="1:16" x14ac:dyDescent="0.25">
      <c r="A73" s="6"/>
      <c r="B73" s="6"/>
      <c r="C73" s="6"/>
      <c r="D73" s="11"/>
      <c r="E73" s="11"/>
      <c r="F73" s="12"/>
      <c r="G73" s="6"/>
      <c r="H73" s="6"/>
      <c r="I73" s="6"/>
      <c r="J73" s="6"/>
      <c r="K73" s="6"/>
      <c r="L73" s="6"/>
      <c r="M73" s="6"/>
      <c r="N73" s="6"/>
      <c r="O73" s="6"/>
      <c r="P73" s="6"/>
    </row>
    <row r="74" spans="1:16" ht="21.75" thickBot="1" x14ac:dyDescent="0.4">
      <c r="A74" s="5" t="s">
        <v>57</v>
      </c>
      <c r="F74" s="18"/>
      <c r="G74" s="19"/>
    </row>
    <row r="75" spans="1:16" ht="21" x14ac:dyDescent="0.35">
      <c r="A75" s="40" t="s">
        <v>35</v>
      </c>
      <c r="B75" s="28" t="s">
        <v>36</v>
      </c>
      <c r="C75" s="28" t="s">
        <v>11</v>
      </c>
      <c r="D75" s="41" t="s">
        <v>58</v>
      </c>
      <c r="F75" s="40" t="s">
        <v>35</v>
      </c>
      <c r="G75" s="28" t="s">
        <v>36</v>
      </c>
      <c r="H75" s="28" t="s">
        <v>11</v>
      </c>
      <c r="I75" s="41" t="s">
        <v>58</v>
      </c>
      <c r="K75" s="221" t="s">
        <v>155</v>
      </c>
      <c r="L75" s="222"/>
      <c r="M75" s="222"/>
      <c r="N75" s="223"/>
      <c r="O75" s="222"/>
      <c r="P75" s="224"/>
    </row>
    <row r="76" spans="1:16" ht="45" x14ac:dyDescent="0.25">
      <c r="A76" s="146"/>
      <c r="B76" s="120" t="s">
        <v>59</v>
      </c>
      <c r="C76" s="120" t="s">
        <v>60</v>
      </c>
      <c r="D76" s="49">
        <v>1400</v>
      </c>
      <c r="F76" s="48" t="s">
        <v>61</v>
      </c>
      <c r="G76" s="20" t="s">
        <v>62</v>
      </c>
      <c r="H76" s="20" t="s">
        <v>63</v>
      </c>
      <c r="I76" s="45">
        <f>D104+D106*D102/D89</f>
        <v>18.317180616740089</v>
      </c>
      <c r="K76" s="326" t="s">
        <v>832</v>
      </c>
      <c r="L76" s="327"/>
      <c r="M76" s="327"/>
      <c r="N76" s="327"/>
      <c r="O76" s="327"/>
      <c r="P76" s="328"/>
    </row>
    <row r="77" spans="1:16" ht="45" x14ac:dyDescent="0.25">
      <c r="A77" s="147"/>
      <c r="B77" s="23" t="s">
        <v>810</v>
      </c>
      <c r="C77" s="23" t="s">
        <v>718</v>
      </c>
      <c r="D77" s="63">
        <v>80</v>
      </c>
      <c r="F77" s="42" t="s">
        <v>64</v>
      </c>
      <c r="G77" s="2" t="s">
        <v>790</v>
      </c>
      <c r="H77" s="2" t="s">
        <v>65</v>
      </c>
      <c r="I77" s="43">
        <f>D96+D106*D83/D89</f>
        <v>40.792951541850222</v>
      </c>
      <c r="K77" s="329" t="s">
        <v>833</v>
      </c>
      <c r="L77" s="330"/>
      <c r="M77" s="330"/>
      <c r="N77" s="330"/>
      <c r="O77" s="330"/>
      <c r="P77" s="331"/>
    </row>
    <row r="78" spans="1:16" ht="45" x14ac:dyDescent="0.25">
      <c r="A78" s="97"/>
      <c r="B78" s="23" t="s">
        <v>719</v>
      </c>
      <c r="C78" s="23" t="s">
        <v>720</v>
      </c>
      <c r="D78" s="63">
        <v>20</v>
      </c>
      <c r="F78" s="42" t="s">
        <v>68</v>
      </c>
      <c r="G78" s="2" t="s">
        <v>69</v>
      </c>
      <c r="H78" s="23" t="s">
        <v>639</v>
      </c>
      <c r="I78" s="43">
        <f>D97+D106*D84/D89</f>
        <v>30.528634361233479</v>
      </c>
      <c r="K78" s="214"/>
      <c r="L78" s="90"/>
      <c r="M78" s="81" t="s">
        <v>797</v>
      </c>
      <c r="N78" s="60" t="s">
        <v>797</v>
      </c>
      <c r="O78" s="81" t="s">
        <v>798</v>
      </c>
      <c r="P78" s="220" t="s">
        <v>798</v>
      </c>
    </row>
    <row r="79" spans="1:16" ht="45" x14ac:dyDescent="0.25">
      <c r="A79" s="97"/>
      <c r="B79" s="23" t="s">
        <v>66</v>
      </c>
      <c r="C79" s="23" t="s">
        <v>67</v>
      </c>
      <c r="D79" s="63">
        <v>50</v>
      </c>
      <c r="F79" s="42" t="s">
        <v>73</v>
      </c>
      <c r="G79" s="2" t="s">
        <v>530</v>
      </c>
      <c r="H79" s="2" t="s">
        <v>624</v>
      </c>
      <c r="I79" s="43">
        <f>D105+D106*D103/D89</f>
        <v>12.211453744493392</v>
      </c>
      <c r="K79" s="215" t="s">
        <v>757</v>
      </c>
      <c r="L79" s="172" t="s">
        <v>629</v>
      </c>
      <c r="M79" s="216" t="s">
        <v>35</v>
      </c>
      <c r="N79" s="231" t="s">
        <v>12</v>
      </c>
      <c r="O79" s="250" t="s">
        <v>35</v>
      </c>
      <c r="P79" s="251" t="s">
        <v>12</v>
      </c>
    </row>
    <row r="80" spans="1:16" ht="45" x14ac:dyDescent="0.25">
      <c r="A80" s="97"/>
      <c r="B80" s="23" t="s">
        <v>849</v>
      </c>
      <c r="C80" s="23" t="s">
        <v>857</v>
      </c>
      <c r="D80" s="63">
        <v>10</v>
      </c>
      <c r="F80" s="42" t="s">
        <v>75</v>
      </c>
      <c r="G80" s="2" t="s">
        <v>791</v>
      </c>
      <c r="H80" s="2" t="s">
        <v>531</v>
      </c>
      <c r="I80" s="43">
        <f>D98+D106*D85/D89</f>
        <v>45.925110132158594</v>
      </c>
      <c r="K80" s="232" t="s">
        <v>761</v>
      </c>
      <c r="L80" s="225" t="s">
        <v>659</v>
      </c>
      <c r="M80" s="158" t="s">
        <v>156</v>
      </c>
      <c r="N80" s="252">
        <f>1000*D81/D71</f>
        <v>3.7894736842105261</v>
      </c>
      <c r="O80" s="158" t="s">
        <v>775</v>
      </c>
      <c r="P80" s="253">
        <f>1000*(D81-D91)/D71</f>
        <v>3.736842105263158</v>
      </c>
    </row>
    <row r="81" spans="1:16" ht="45" x14ac:dyDescent="0.25">
      <c r="A81" s="148" t="s">
        <v>70</v>
      </c>
      <c r="B81" s="33" t="s">
        <v>71</v>
      </c>
      <c r="C81" s="33" t="s">
        <v>72</v>
      </c>
      <c r="D81" s="66">
        <f>D76+D77+D78-D79-D80</f>
        <v>1440</v>
      </c>
      <c r="F81" s="42" t="s">
        <v>77</v>
      </c>
      <c r="G81" s="2" t="s">
        <v>532</v>
      </c>
      <c r="H81" s="2" t="s">
        <v>533</v>
      </c>
      <c r="I81" s="187">
        <f>D99+D106*D86/D89</f>
        <v>0</v>
      </c>
      <c r="K81" s="232" t="s">
        <v>762</v>
      </c>
      <c r="L81" s="225" t="s">
        <v>255</v>
      </c>
      <c r="M81" s="158" t="s">
        <v>157</v>
      </c>
      <c r="N81" s="254">
        <f>I102*1000/D62</f>
        <v>1.8301569078478528</v>
      </c>
      <c r="O81" s="158" t="s">
        <v>776</v>
      </c>
      <c r="P81" s="255">
        <f>1000*((D102+I76+D83+I77)/D62)</f>
        <v>1.7940675477239356</v>
      </c>
    </row>
    <row r="82" spans="1:16" ht="45" x14ac:dyDescent="0.25">
      <c r="A82" s="147"/>
      <c r="B82" s="23" t="s">
        <v>74</v>
      </c>
      <c r="C82" s="23" t="s">
        <v>607</v>
      </c>
      <c r="D82" s="50">
        <v>100</v>
      </c>
      <c r="F82" s="42" t="s">
        <v>80</v>
      </c>
      <c r="G82" s="2" t="s">
        <v>81</v>
      </c>
      <c r="H82" s="113" t="s">
        <v>82</v>
      </c>
      <c r="I82" s="43">
        <f>D100+$D$106*D87/$D$89</f>
        <v>4.0528634361233475</v>
      </c>
      <c r="K82" s="232" t="s">
        <v>763</v>
      </c>
      <c r="L82" s="225" t="s">
        <v>255</v>
      </c>
      <c r="M82" s="158" t="s">
        <v>158</v>
      </c>
      <c r="N82" s="254">
        <f>IFERROR(1000*I104/D65,"-")</f>
        <v>2.681372477786879</v>
      </c>
      <c r="O82" s="158" t="s">
        <v>777</v>
      </c>
      <c r="P82" s="255">
        <f>IFERROR(1000*((D84+I78)/D65),"-")</f>
        <v>2.61057268722467</v>
      </c>
    </row>
    <row r="83" spans="1:16" ht="45" x14ac:dyDescent="0.25">
      <c r="A83" s="147"/>
      <c r="B83" s="23" t="s">
        <v>787</v>
      </c>
      <c r="C83" s="23" t="s">
        <v>76</v>
      </c>
      <c r="D83" s="50">
        <v>150</v>
      </c>
      <c r="F83" s="51" t="s">
        <v>83</v>
      </c>
      <c r="G83" s="3" t="s">
        <v>84</v>
      </c>
      <c r="H83" s="112" t="s">
        <v>85</v>
      </c>
      <c r="I83" s="44">
        <f>D101+$D$106*D88/$D$89</f>
        <v>133.17180616740089</v>
      </c>
      <c r="K83" s="232" t="s">
        <v>764</v>
      </c>
      <c r="L83" s="225" t="s">
        <v>255</v>
      </c>
      <c r="M83" s="158" t="s">
        <v>159</v>
      </c>
      <c r="N83" s="254">
        <f>IFERROR(1000*(I102/D62+I104/D65),"-")</f>
        <v>4.5115293856347325</v>
      </c>
      <c r="O83" s="158" t="s">
        <v>778</v>
      </c>
      <c r="P83" s="255">
        <f>IFERROR(P81+P82,"-")</f>
        <v>4.4046402349486051</v>
      </c>
    </row>
    <row r="84" spans="1:16" x14ac:dyDescent="0.25">
      <c r="A84" s="23"/>
      <c r="B84" s="23" t="s">
        <v>78</v>
      </c>
      <c r="C84" s="23" t="s">
        <v>79</v>
      </c>
      <c r="D84" s="50">
        <v>100</v>
      </c>
      <c r="K84" s="232" t="s">
        <v>765</v>
      </c>
      <c r="L84" s="225" t="s">
        <v>255</v>
      </c>
      <c r="M84" s="158" t="s">
        <v>160</v>
      </c>
      <c r="N84" s="254">
        <f>1000*I103/D63</f>
        <v>1.3938056022879002</v>
      </c>
      <c r="O84" s="158" t="s">
        <v>779</v>
      </c>
      <c r="P84" s="255">
        <f>1000*(D103+I79+D85+I80)/D63</f>
        <v>1.36568281938326</v>
      </c>
    </row>
    <row r="85" spans="1:16" x14ac:dyDescent="0.25">
      <c r="A85" s="23"/>
      <c r="B85" s="23" t="s">
        <v>794</v>
      </c>
      <c r="C85" s="23" t="s">
        <v>534</v>
      </c>
      <c r="D85" s="50">
        <v>175</v>
      </c>
      <c r="F85" s="40" t="s">
        <v>35</v>
      </c>
      <c r="G85" s="28" t="s">
        <v>36</v>
      </c>
      <c r="H85" s="28" t="s">
        <v>11</v>
      </c>
      <c r="I85" s="41" t="s">
        <v>58</v>
      </c>
      <c r="K85" s="232" t="s">
        <v>766</v>
      </c>
      <c r="L85" s="225" t="s">
        <v>255</v>
      </c>
      <c r="M85" s="158" t="s">
        <v>161</v>
      </c>
      <c r="N85" s="254">
        <f>IFERROR(1000*I105/D66,"-")</f>
        <v>8.2989724458406952E-2</v>
      </c>
      <c r="O85" s="158" t="s">
        <v>780</v>
      </c>
      <c r="P85" s="256">
        <f>IFERROR(1000*((D86+I81)/D66),"-")</f>
        <v>0</v>
      </c>
    </row>
    <row r="86" spans="1:16" ht="30" x14ac:dyDescent="0.25">
      <c r="B86" s="2" t="s">
        <v>535</v>
      </c>
      <c r="C86" s="2" t="s">
        <v>536</v>
      </c>
      <c r="D86" s="50">
        <v>0</v>
      </c>
      <c r="F86" s="48" t="s">
        <v>90</v>
      </c>
      <c r="G86" s="20" t="s">
        <v>91</v>
      </c>
      <c r="H86" s="20" t="s">
        <v>515</v>
      </c>
      <c r="I86" s="45">
        <f>D91*I136/D129</f>
        <v>0.39442371882976635</v>
      </c>
      <c r="K86" s="246" t="s">
        <v>767</v>
      </c>
      <c r="L86" s="225" t="s">
        <v>255</v>
      </c>
      <c r="M86" s="158" t="s">
        <v>162</v>
      </c>
      <c r="N86" s="257">
        <f>IFERROR(1000*(I103/D63+I105/D66),"-")</f>
        <v>1.4767953267463072</v>
      </c>
      <c r="O86" s="158" t="s">
        <v>781</v>
      </c>
      <c r="P86" s="258">
        <f>IFERROR(P84+P85,"-")</f>
        <v>1.36568281938326</v>
      </c>
    </row>
    <row r="87" spans="1:16" ht="30" x14ac:dyDescent="0.25">
      <c r="A87" s="26"/>
      <c r="B87" s="2" t="s">
        <v>86</v>
      </c>
      <c r="C87" s="2" t="s">
        <v>87</v>
      </c>
      <c r="D87" s="111">
        <v>10</v>
      </c>
      <c r="F87" s="42" t="s">
        <v>95</v>
      </c>
      <c r="G87" s="2" t="s">
        <v>792</v>
      </c>
      <c r="H87" s="2" t="s">
        <v>516</v>
      </c>
      <c r="I87" s="43">
        <f>D91*I138/D129</f>
        <v>5.0189802997578381</v>
      </c>
      <c r="K87" s="232" t="s">
        <v>768</v>
      </c>
      <c r="L87" s="225" t="s">
        <v>660</v>
      </c>
      <c r="M87" s="158" t="s">
        <v>163</v>
      </c>
      <c r="N87" s="259">
        <f>1000*I107/D69</f>
        <v>2.305076008416723</v>
      </c>
      <c r="O87" s="158" t="s">
        <v>782</v>
      </c>
      <c r="P87" s="260">
        <f>1000*((D88+I83)/D69)</f>
        <v>2.2911618942731278</v>
      </c>
    </row>
    <row r="88" spans="1:16" ht="30" x14ac:dyDescent="0.25">
      <c r="A88" s="26"/>
      <c r="B88" s="2" t="s">
        <v>88</v>
      </c>
      <c r="C88" s="2" t="s">
        <v>89</v>
      </c>
      <c r="D88" s="111">
        <v>600</v>
      </c>
      <c r="F88" s="42" t="s">
        <v>98</v>
      </c>
      <c r="G88" s="2" t="s">
        <v>99</v>
      </c>
      <c r="H88" s="2" t="s">
        <v>517</v>
      </c>
      <c r="I88" s="43">
        <f>D91*I145/D129</f>
        <v>3.5399895281104783</v>
      </c>
      <c r="K88" s="232" t="s">
        <v>769</v>
      </c>
      <c r="L88" s="225" t="s">
        <v>660</v>
      </c>
      <c r="M88" s="158" t="s">
        <v>749</v>
      </c>
      <c r="N88" s="259">
        <f>IFERROR(1000*(I106/D67+I107/D69),"-")</f>
        <v>3.0147009853148474</v>
      </c>
      <c r="O88" s="158" t="s">
        <v>783</v>
      </c>
      <c r="P88" s="260">
        <f>IFERROR(1000*((D87+I82)/D67+(D88+I83)/D69),"-")</f>
        <v>2.9938050660792954</v>
      </c>
    </row>
    <row r="89" spans="1:16" ht="30.75" thickBot="1" x14ac:dyDescent="0.3">
      <c r="A89" s="42" t="s">
        <v>92</v>
      </c>
      <c r="B89" s="30" t="s">
        <v>93</v>
      </c>
      <c r="C89" s="30" t="s">
        <v>94</v>
      </c>
      <c r="D89" s="56">
        <f>SUM(D82:D88)</f>
        <v>1135</v>
      </c>
      <c r="E89" s="13"/>
      <c r="F89" s="42" t="s">
        <v>102</v>
      </c>
      <c r="G89" s="2" t="s">
        <v>537</v>
      </c>
      <c r="H89" s="2" t="s">
        <v>608</v>
      </c>
      <c r="I89" s="43">
        <f>D91*I137/D129</f>
        <v>0.26294914588651086</v>
      </c>
      <c r="K89" s="247" t="s">
        <v>164</v>
      </c>
      <c r="L89" s="248" t="s">
        <v>19</v>
      </c>
      <c r="M89" s="249" t="s">
        <v>750</v>
      </c>
      <c r="N89" s="261">
        <f>(D77+D78)/D81</f>
        <v>6.9444444444444448E-2</v>
      </c>
      <c r="O89" s="249" t="s">
        <v>784</v>
      </c>
      <c r="P89" s="262">
        <f>(D77+D78)/(D81-D91)</f>
        <v>7.0422535211267609E-2</v>
      </c>
    </row>
    <row r="90" spans="1:16" ht="45" x14ac:dyDescent="0.25">
      <c r="A90" s="42"/>
      <c r="B90" s="2" t="s">
        <v>96</v>
      </c>
      <c r="C90" s="77" t="s">
        <v>97</v>
      </c>
      <c r="D90" s="50">
        <v>70</v>
      </c>
      <c r="E90" s="13"/>
      <c r="F90" s="42" t="s">
        <v>104</v>
      </c>
      <c r="G90" s="2" t="s">
        <v>793</v>
      </c>
      <c r="H90" s="2" t="s">
        <v>538</v>
      </c>
      <c r="I90" s="43">
        <f>D91*I139/D129</f>
        <v>5.3616074350415603</v>
      </c>
    </row>
    <row r="91" spans="1:16" ht="30" x14ac:dyDescent="0.25">
      <c r="A91" s="51"/>
      <c r="B91" s="3" t="s">
        <v>100</v>
      </c>
      <c r="C91" s="31" t="s">
        <v>101</v>
      </c>
      <c r="D91" s="54">
        <v>20</v>
      </c>
      <c r="E91" s="13"/>
      <c r="F91" s="42" t="s">
        <v>107</v>
      </c>
      <c r="G91" s="2" t="s">
        <v>539</v>
      </c>
      <c r="H91" s="2" t="s">
        <v>540</v>
      </c>
      <c r="I91" s="187">
        <f>D91*I146/D129</f>
        <v>0.82989724458406955</v>
      </c>
    </row>
    <row r="92" spans="1:16" ht="30" x14ac:dyDescent="0.25">
      <c r="A92" s="51" t="s">
        <v>103</v>
      </c>
      <c r="B92" s="31" t="s">
        <v>625</v>
      </c>
      <c r="C92" s="31" t="s">
        <v>626</v>
      </c>
      <c r="D92" s="52">
        <f>D89+D90+D91</f>
        <v>1225</v>
      </c>
      <c r="E92" s="13"/>
      <c r="F92" s="42" t="s">
        <v>111</v>
      </c>
      <c r="G92" s="2" t="s">
        <v>112</v>
      </c>
      <c r="H92" s="2" t="s">
        <v>518</v>
      </c>
      <c r="I92" s="43">
        <f>D91*I147/D129</f>
        <v>0.13963610183912559</v>
      </c>
    </row>
    <row r="93" spans="1:16" ht="30" x14ac:dyDescent="0.25">
      <c r="A93" s="78" t="s">
        <v>105</v>
      </c>
      <c r="B93" s="79" t="s">
        <v>106</v>
      </c>
      <c r="C93" s="186" t="s">
        <v>650</v>
      </c>
      <c r="D93" s="80">
        <f>D81-D92</f>
        <v>215</v>
      </c>
      <c r="E93" s="13"/>
      <c r="F93" s="51" t="s">
        <v>115</v>
      </c>
      <c r="G93" s="3" t="s">
        <v>116</v>
      </c>
      <c r="H93" s="3" t="s">
        <v>519</v>
      </c>
      <c r="I93" s="44">
        <f>D91*I148/D129</f>
        <v>4.4525165259506512</v>
      </c>
    </row>
    <row r="94" spans="1:16" x14ac:dyDescent="0.25">
      <c r="A94" s="78" t="s">
        <v>108</v>
      </c>
      <c r="B94" s="79" t="s">
        <v>109</v>
      </c>
      <c r="C94" s="79" t="s">
        <v>110</v>
      </c>
      <c r="D94" s="80">
        <f>D90+D93</f>
        <v>285</v>
      </c>
    </row>
    <row r="95" spans="1:16" ht="30" x14ac:dyDescent="0.25">
      <c r="A95" s="42"/>
      <c r="B95" s="2" t="s">
        <v>113</v>
      </c>
      <c r="C95" s="2" t="s">
        <v>114</v>
      </c>
      <c r="D95" s="50">
        <v>10</v>
      </c>
      <c r="F95" s="40" t="s">
        <v>35</v>
      </c>
      <c r="G95" s="28" t="s">
        <v>36</v>
      </c>
      <c r="H95" s="28" t="s">
        <v>11</v>
      </c>
      <c r="I95" s="41" t="s">
        <v>58</v>
      </c>
    </row>
    <row r="96" spans="1:16" ht="45" x14ac:dyDescent="0.25">
      <c r="A96" s="42"/>
      <c r="B96" s="2" t="s">
        <v>788</v>
      </c>
      <c r="C96" s="2" t="s">
        <v>117</v>
      </c>
      <c r="D96" s="50">
        <v>10</v>
      </c>
      <c r="F96" s="48" t="s">
        <v>120</v>
      </c>
      <c r="G96" s="20" t="s">
        <v>121</v>
      </c>
      <c r="H96" s="20" t="s">
        <v>122</v>
      </c>
      <c r="I96" s="114">
        <f>D102+I76+I86</f>
        <v>78.711604335569859</v>
      </c>
    </row>
    <row r="97" spans="1:16" ht="45" x14ac:dyDescent="0.25">
      <c r="B97" s="2" t="s">
        <v>118</v>
      </c>
      <c r="C97" s="2" t="s">
        <v>119</v>
      </c>
      <c r="D97" s="50">
        <v>10</v>
      </c>
      <c r="E97" s="14"/>
      <c r="F97" s="42" t="s">
        <v>123</v>
      </c>
      <c r="G97" s="2" t="s">
        <v>544</v>
      </c>
      <c r="H97" s="2" t="s">
        <v>609</v>
      </c>
      <c r="I97" s="46">
        <f>D103+I79+I89</f>
        <v>52.474402890379899</v>
      </c>
    </row>
    <row r="98" spans="1:16" ht="45" x14ac:dyDescent="0.25">
      <c r="B98" s="2" t="s">
        <v>789</v>
      </c>
      <c r="C98" s="2" t="s">
        <v>541</v>
      </c>
      <c r="D98" s="50">
        <v>10</v>
      </c>
      <c r="E98" s="14"/>
      <c r="F98" s="42" t="s">
        <v>126</v>
      </c>
      <c r="G98" s="2" t="s">
        <v>785</v>
      </c>
      <c r="H98" s="2" t="s">
        <v>127</v>
      </c>
      <c r="I98" s="46">
        <f>D83+I77+I87</f>
        <v>195.81193184160804</v>
      </c>
    </row>
    <row r="99" spans="1:16" ht="45" x14ac:dyDescent="0.25">
      <c r="B99" s="2" t="s">
        <v>542</v>
      </c>
      <c r="C99" s="2" t="s">
        <v>543</v>
      </c>
      <c r="D99" s="50">
        <v>0</v>
      </c>
      <c r="E99" s="14"/>
      <c r="F99" s="51" t="s">
        <v>130</v>
      </c>
      <c r="G99" s="3" t="s">
        <v>786</v>
      </c>
      <c r="H99" s="3" t="s">
        <v>545</v>
      </c>
      <c r="I99" s="47">
        <f>D85+I80+I90</f>
        <v>226.28671756720013</v>
      </c>
    </row>
    <row r="100" spans="1:16" ht="30" x14ac:dyDescent="0.25">
      <c r="A100" s="26"/>
      <c r="B100" s="2" t="s">
        <v>124</v>
      </c>
      <c r="C100" s="2" t="s">
        <v>125</v>
      </c>
      <c r="D100" s="63">
        <v>2</v>
      </c>
      <c r="E100" s="14"/>
    </row>
    <row r="101" spans="1:16" ht="30" x14ac:dyDescent="0.25">
      <c r="A101" s="84"/>
      <c r="B101" s="3" t="s">
        <v>128</v>
      </c>
      <c r="C101" s="3" t="s">
        <v>129</v>
      </c>
      <c r="D101" s="133">
        <v>10</v>
      </c>
      <c r="E101" s="14"/>
      <c r="F101" s="40" t="s">
        <v>35</v>
      </c>
      <c r="G101" s="28" t="s">
        <v>36</v>
      </c>
      <c r="H101" s="28" t="s">
        <v>11</v>
      </c>
      <c r="I101" s="41" t="s">
        <v>58</v>
      </c>
    </row>
    <row r="102" spans="1:16" x14ac:dyDescent="0.25">
      <c r="A102" s="42" t="s">
        <v>131</v>
      </c>
      <c r="B102" s="30" t="s">
        <v>132</v>
      </c>
      <c r="C102" s="30" t="s">
        <v>133</v>
      </c>
      <c r="D102" s="65">
        <f>D82*D58/D60</f>
        <v>60</v>
      </c>
      <c r="E102" s="14"/>
      <c r="F102" s="48" t="s">
        <v>137</v>
      </c>
      <c r="G102" s="20" t="s">
        <v>138</v>
      </c>
      <c r="H102" s="115" t="s">
        <v>139</v>
      </c>
      <c r="I102" s="114">
        <f>I96+I98</f>
        <v>274.5235361771779</v>
      </c>
    </row>
    <row r="103" spans="1:16" x14ac:dyDescent="0.25">
      <c r="A103" s="51" t="s">
        <v>134</v>
      </c>
      <c r="B103" s="31" t="s">
        <v>546</v>
      </c>
      <c r="C103" s="31" t="s">
        <v>610</v>
      </c>
      <c r="D103" s="66">
        <f>D82*D59/D60</f>
        <v>40</v>
      </c>
      <c r="E103" s="14"/>
      <c r="F103" s="42" t="s">
        <v>141</v>
      </c>
      <c r="G103" s="2" t="s">
        <v>548</v>
      </c>
      <c r="H103" s="77" t="s">
        <v>549</v>
      </c>
      <c r="I103" s="46">
        <f>I97+I99</f>
        <v>278.76112045758003</v>
      </c>
    </row>
    <row r="104" spans="1:16" x14ac:dyDescent="0.25">
      <c r="A104" s="42" t="s">
        <v>135</v>
      </c>
      <c r="B104" s="30" t="s">
        <v>136</v>
      </c>
      <c r="C104" s="30" t="s">
        <v>521</v>
      </c>
      <c r="D104" s="65">
        <f>D95* D58/(D58+D59)</f>
        <v>6</v>
      </c>
      <c r="E104" s="14"/>
      <c r="F104" s="42" t="s">
        <v>145</v>
      </c>
      <c r="G104" s="2" t="s">
        <v>146</v>
      </c>
      <c r="H104" s="2" t="s">
        <v>147</v>
      </c>
      <c r="I104" s="46">
        <f>D84+I78+I88</f>
        <v>134.06862388934397</v>
      </c>
      <c r="J104" s="14"/>
    </row>
    <row r="105" spans="1:16" ht="30" x14ac:dyDescent="0.25">
      <c r="A105" s="51" t="s">
        <v>140</v>
      </c>
      <c r="B105" s="31" t="s">
        <v>547</v>
      </c>
      <c r="C105" s="31" t="s">
        <v>611</v>
      </c>
      <c r="D105" s="66">
        <f>D95*D59/(D58+D59)</f>
        <v>4</v>
      </c>
      <c r="E105" s="14"/>
      <c r="F105" s="42" t="s">
        <v>148</v>
      </c>
      <c r="G105" s="2" t="s">
        <v>550</v>
      </c>
      <c r="H105" s="2" t="s">
        <v>551</v>
      </c>
      <c r="I105" s="46">
        <f>D86+I81+I91</f>
        <v>0.82989724458406955</v>
      </c>
      <c r="J105" s="14"/>
    </row>
    <row r="106" spans="1:16" ht="30" x14ac:dyDescent="0.25">
      <c r="A106" s="51" t="s">
        <v>142</v>
      </c>
      <c r="B106" s="31" t="s">
        <v>143</v>
      </c>
      <c r="C106" s="31" t="s">
        <v>144</v>
      </c>
      <c r="D106" s="53">
        <f>D94-SUM(D95:D101)</f>
        <v>233</v>
      </c>
      <c r="E106" s="14"/>
      <c r="F106" s="42" t="s">
        <v>149</v>
      </c>
      <c r="G106" s="2" t="s">
        <v>150</v>
      </c>
      <c r="H106" s="2" t="s">
        <v>151</v>
      </c>
      <c r="I106" s="46">
        <f>D87+I82+I92</f>
        <v>14.192499537962473</v>
      </c>
    </row>
    <row r="107" spans="1:16" x14ac:dyDescent="0.25">
      <c r="E107" s="14"/>
      <c r="F107" s="51" t="s">
        <v>152</v>
      </c>
      <c r="G107" s="3" t="s">
        <v>153</v>
      </c>
      <c r="H107" s="3" t="s">
        <v>154</v>
      </c>
      <c r="I107" s="47">
        <f>D88+I83+I93</f>
        <v>737.62432269335147</v>
      </c>
    </row>
    <row r="108" spans="1:16" x14ac:dyDescent="0.25">
      <c r="E108" s="14"/>
    </row>
    <row r="109" spans="1:16" x14ac:dyDescent="0.25">
      <c r="A109" s="6"/>
      <c r="B109" s="6"/>
      <c r="C109" s="6"/>
      <c r="D109" s="15"/>
      <c r="E109" s="16"/>
      <c r="F109" s="6"/>
      <c r="G109" s="6"/>
      <c r="H109" s="7"/>
      <c r="I109" s="7"/>
      <c r="J109" s="6"/>
      <c r="K109" s="6"/>
      <c r="L109" s="6"/>
      <c r="M109" s="6"/>
      <c r="N109" s="6"/>
      <c r="O109" s="6"/>
      <c r="P109" s="6"/>
    </row>
    <row r="110" spans="1:16" ht="32.25" thickBot="1" x14ac:dyDescent="0.4">
      <c r="A110" s="55" t="s">
        <v>165</v>
      </c>
      <c r="C110" s="302" t="s">
        <v>862</v>
      </c>
    </row>
    <row r="111" spans="1:16" ht="21" x14ac:dyDescent="0.35">
      <c r="A111" s="40" t="s">
        <v>35</v>
      </c>
      <c r="B111" s="28" t="s">
        <v>36</v>
      </c>
      <c r="C111" s="28" t="s">
        <v>11</v>
      </c>
      <c r="D111" s="41" t="s">
        <v>58</v>
      </c>
      <c r="F111" s="40" t="s">
        <v>35</v>
      </c>
      <c r="G111" s="28" t="s">
        <v>36</v>
      </c>
      <c r="H111" s="28" t="s">
        <v>11</v>
      </c>
      <c r="I111" s="41" t="s">
        <v>58</v>
      </c>
      <c r="K111" s="207" t="s">
        <v>155</v>
      </c>
      <c r="L111" s="222"/>
      <c r="M111" s="222"/>
      <c r="N111" s="222"/>
      <c r="O111" s="222"/>
      <c r="P111" s="224"/>
    </row>
    <row r="112" spans="1:16" ht="30" x14ac:dyDescent="0.25">
      <c r="A112" s="48"/>
      <c r="B112" s="20" t="s">
        <v>166</v>
      </c>
      <c r="C112" s="20" t="s">
        <v>651</v>
      </c>
      <c r="D112" s="49">
        <v>1800</v>
      </c>
      <c r="F112" s="146" t="s">
        <v>309</v>
      </c>
      <c r="G112" s="230" t="s">
        <v>294</v>
      </c>
      <c r="H112" s="230" t="s">
        <v>295</v>
      </c>
      <c r="I112" s="116">
        <f>D140+D141+D143+D158</f>
        <v>313</v>
      </c>
      <c r="K112" s="300" t="s">
        <v>858</v>
      </c>
      <c r="L112" s="164"/>
      <c r="M112" s="23"/>
      <c r="N112" s="23"/>
      <c r="O112" s="23"/>
      <c r="P112" s="265"/>
    </row>
    <row r="113" spans="1:16" ht="45" x14ac:dyDescent="0.25">
      <c r="A113" s="42"/>
      <c r="B113" s="23" t="s">
        <v>170</v>
      </c>
      <c r="C113" s="23" t="s">
        <v>652</v>
      </c>
      <c r="D113" s="50">
        <v>500</v>
      </c>
      <c r="F113" s="42"/>
      <c r="G113" s="2" t="s">
        <v>296</v>
      </c>
      <c r="H113" s="2" t="s">
        <v>297</v>
      </c>
      <c r="I113" s="63">
        <v>30</v>
      </c>
      <c r="K113" s="301" t="s">
        <v>859</v>
      </c>
      <c r="L113" s="182"/>
      <c r="M113" s="149"/>
      <c r="N113" s="149"/>
      <c r="O113" s="149"/>
      <c r="P113" s="278"/>
    </row>
    <row r="114" spans="1:16" ht="60" x14ac:dyDescent="0.25">
      <c r="A114" s="26"/>
      <c r="B114" s="23" t="s">
        <v>174</v>
      </c>
      <c r="C114" s="23" t="s">
        <v>175</v>
      </c>
      <c r="D114" s="50">
        <v>30</v>
      </c>
      <c r="F114" s="42"/>
      <c r="G114" s="2" t="s">
        <v>298</v>
      </c>
      <c r="H114" s="2" t="s">
        <v>299</v>
      </c>
      <c r="I114" s="63">
        <v>10</v>
      </c>
      <c r="K114" s="214"/>
      <c r="L114" s="90"/>
      <c r="M114" s="81" t="s">
        <v>797</v>
      </c>
      <c r="N114" s="60" t="s">
        <v>797</v>
      </c>
      <c r="O114" s="81" t="s">
        <v>798</v>
      </c>
      <c r="P114" s="220" t="s">
        <v>798</v>
      </c>
    </row>
    <row r="115" spans="1:16" ht="60" x14ac:dyDescent="0.25">
      <c r="A115" s="42"/>
      <c r="B115" s="2" t="s">
        <v>179</v>
      </c>
      <c r="C115" s="23" t="s">
        <v>180</v>
      </c>
      <c r="D115" s="50">
        <v>5</v>
      </c>
      <c r="F115" s="21"/>
      <c r="G115" s="2" t="s">
        <v>300</v>
      </c>
      <c r="H115" s="2" t="s">
        <v>301</v>
      </c>
      <c r="I115" s="63">
        <v>10</v>
      </c>
      <c r="K115" s="234" t="s">
        <v>804</v>
      </c>
      <c r="L115" s="172" t="s">
        <v>629</v>
      </c>
      <c r="M115" s="216" t="s">
        <v>35</v>
      </c>
      <c r="N115" s="226" t="s">
        <v>12</v>
      </c>
      <c r="O115" s="216" t="s">
        <v>35</v>
      </c>
      <c r="P115" s="211" t="s">
        <v>12</v>
      </c>
    </row>
    <row r="116" spans="1:16" ht="60" x14ac:dyDescent="0.25">
      <c r="A116" s="42"/>
      <c r="B116" s="2" t="s">
        <v>182</v>
      </c>
      <c r="C116" s="23" t="s">
        <v>183</v>
      </c>
      <c r="D116" s="50">
        <v>10</v>
      </c>
      <c r="F116" s="42"/>
      <c r="G116" s="77" t="s">
        <v>578</v>
      </c>
      <c r="H116" s="2" t="s">
        <v>579</v>
      </c>
      <c r="I116" s="63">
        <v>10</v>
      </c>
      <c r="K116" s="232" t="s">
        <v>761</v>
      </c>
      <c r="L116" s="225" t="s">
        <v>659</v>
      </c>
      <c r="M116" s="158" t="s">
        <v>262</v>
      </c>
      <c r="N116" s="252">
        <f>D129*1000/D71</f>
        <v>6.9473684210526319</v>
      </c>
      <c r="O116" s="158" t="s">
        <v>634</v>
      </c>
      <c r="P116" s="253">
        <f>(D129-(D119-D123))*1000/D71</f>
        <v>5.6578947368421053</v>
      </c>
    </row>
    <row r="117" spans="1:16" ht="60" x14ac:dyDescent="0.25">
      <c r="A117" s="42"/>
      <c r="B117" s="2" t="s">
        <v>185</v>
      </c>
      <c r="C117" s="23" t="s">
        <v>186</v>
      </c>
      <c r="D117" s="50">
        <v>1</v>
      </c>
      <c r="F117" s="42"/>
      <c r="G117" s="77" t="s">
        <v>580</v>
      </c>
      <c r="H117" s="2" t="s">
        <v>581</v>
      </c>
      <c r="I117" s="63">
        <v>0</v>
      </c>
      <c r="K117" s="232" t="s">
        <v>762</v>
      </c>
      <c r="L117" s="225" t="s">
        <v>255</v>
      </c>
      <c r="M117" s="158" t="s">
        <v>263</v>
      </c>
      <c r="N117" s="252">
        <f>I143*1000/D62</f>
        <v>4.7637955363570921</v>
      </c>
      <c r="O117" s="23"/>
      <c r="P117" s="265"/>
    </row>
    <row r="118" spans="1:16" ht="45" x14ac:dyDescent="0.25">
      <c r="A118" s="147" t="s">
        <v>188</v>
      </c>
      <c r="B118" s="35" t="s">
        <v>189</v>
      </c>
      <c r="C118" s="35" t="s">
        <v>811</v>
      </c>
      <c r="D118" s="56">
        <f>SUM(D112:D117)</f>
        <v>2346</v>
      </c>
      <c r="F118" s="42"/>
      <c r="G118" s="2" t="s">
        <v>302</v>
      </c>
      <c r="H118" s="2" t="s">
        <v>303</v>
      </c>
      <c r="I118" s="50">
        <v>2</v>
      </c>
      <c r="K118" s="232" t="s">
        <v>770</v>
      </c>
      <c r="L118" s="225" t="s">
        <v>255</v>
      </c>
      <c r="M118" s="158" t="s">
        <v>266</v>
      </c>
      <c r="N118" s="252">
        <f>IFERROR(1000*I145/D65,"-")</f>
        <v>9.3455723542116633</v>
      </c>
      <c r="O118" s="23"/>
      <c r="P118" s="265"/>
    </row>
    <row r="119" spans="1:16" ht="60" x14ac:dyDescent="0.25">
      <c r="A119" s="147"/>
      <c r="B119" s="193" t="s">
        <v>193</v>
      </c>
      <c r="C119" s="23" t="s">
        <v>861</v>
      </c>
      <c r="D119" s="50">
        <v>500</v>
      </c>
      <c r="F119" s="51"/>
      <c r="G119" s="3" t="s">
        <v>304</v>
      </c>
      <c r="H119" s="3" t="s">
        <v>305</v>
      </c>
      <c r="I119" s="54">
        <v>30</v>
      </c>
      <c r="K119" s="232" t="s">
        <v>764</v>
      </c>
      <c r="L119" s="225" t="s">
        <v>255</v>
      </c>
      <c r="M119" s="158" t="s">
        <v>275</v>
      </c>
      <c r="N119" s="252">
        <f>IFERROR(1000*(I143/D62+I145/D65),"-")</f>
        <v>14.109367890568755</v>
      </c>
      <c r="O119" s="23"/>
      <c r="P119" s="265"/>
    </row>
    <row r="120" spans="1:16" x14ac:dyDescent="0.25">
      <c r="A120" s="147" t="s">
        <v>197</v>
      </c>
      <c r="B120" s="35" t="s">
        <v>198</v>
      </c>
      <c r="C120" s="35" t="s">
        <v>199</v>
      </c>
      <c r="D120" s="56">
        <f>D118+D119</f>
        <v>2846</v>
      </c>
      <c r="F120" s="42" t="s">
        <v>310</v>
      </c>
      <c r="G120" s="30" t="s">
        <v>311</v>
      </c>
      <c r="H120" s="2" t="s">
        <v>520</v>
      </c>
      <c r="I120" s="56">
        <f>D58/(D58+D59)*I113</f>
        <v>18</v>
      </c>
      <c r="K120" s="232" t="s">
        <v>765</v>
      </c>
      <c r="L120" s="225" t="s">
        <v>255</v>
      </c>
      <c r="M120" s="158" t="s">
        <v>276</v>
      </c>
      <c r="N120" s="252">
        <f>I144*1000/D63</f>
        <v>3.7122073434125271</v>
      </c>
      <c r="O120" s="158" t="s">
        <v>803</v>
      </c>
      <c r="P120" s="253">
        <f>(I144-(D119-D123))*1000/D63</f>
        <v>1.2622073434125269</v>
      </c>
    </row>
    <row r="121" spans="1:16" ht="30" x14ac:dyDescent="0.25">
      <c r="A121" s="147"/>
      <c r="B121" s="23" t="s">
        <v>201</v>
      </c>
      <c r="C121" s="23" t="s">
        <v>202</v>
      </c>
      <c r="D121" s="50">
        <v>5</v>
      </c>
      <c r="F121" s="51" t="s">
        <v>312</v>
      </c>
      <c r="G121" s="31" t="s">
        <v>582</v>
      </c>
      <c r="H121" s="3" t="s">
        <v>618</v>
      </c>
      <c r="I121" s="53">
        <f>D59/(D58+D59)*I113</f>
        <v>12</v>
      </c>
      <c r="K121" s="232" t="s">
        <v>770</v>
      </c>
      <c r="L121" s="225" t="s">
        <v>255</v>
      </c>
      <c r="M121" s="158" t="s">
        <v>283</v>
      </c>
      <c r="N121" s="252">
        <f>IFERROR(1000*I146/D66,"-")</f>
        <v>10.954643628509718</v>
      </c>
      <c r="O121" s="23"/>
      <c r="P121" s="265"/>
    </row>
    <row r="122" spans="1:16" ht="30" x14ac:dyDescent="0.25">
      <c r="A122" s="147"/>
      <c r="B122" s="23" t="s">
        <v>844</v>
      </c>
      <c r="C122" s="23" t="s">
        <v>204</v>
      </c>
      <c r="D122" s="50">
        <v>100</v>
      </c>
      <c r="F122" s="51" t="s">
        <v>313</v>
      </c>
      <c r="G122" s="31" t="s">
        <v>314</v>
      </c>
      <c r="H122" s="3" t="s">
        <v>315</v>
      </c>
      <c r="I122" s="52">
        <f>I112-SUM(I113:I119)</f>
        <v>221</v>
      </c>
      <c r="K122" s="232" t="s">
        <v>767</v>
      </c>
      <c r="L122" s="225" t="s">
        <v>255</v>
      </c>
      <c r="M122" s="158" t="s">
        <v>522</v>
      </c>
      <c r="N122" s="254">
        <f>IFERROR(1000*(I144/D63+I146/D66),"-")</f>
        <v>14.666850971922246</v>
      </c>
      <c r="O122" s="158" t="s">
        <v>802</v>
      </c>
      <c r="P122" s="255">
        <f>IFERROR(1000*(I144-(D119-D123))/D63+I146/D66,"-")</f>
        <v>1.2731619870410367</v>
      </c>
    </row>
    <row r="123" spans="1:16" x14ac:dyDescent="0.25">
      <c r="A123" s="147"/>
      <c r="B123" s="23" t="s">
        <v>845</v>
      </c>
      <c r="C123" s="23" t="s">
        <v>721</v>
      </c>
      <c r="D123" s="63">
        <v>10</v>
      </c>
      <c r="K123" s="232" t="s">
        <v>768</v>
      </c>
      <c r="L123" s="225" t="s">
        <v>660</v>
      </c>
      <c r="M123" s="158" t="s">
        <v>288</v>
      </c>
      <c r="N123" s="252">
        <f>1000*I148/D69</f>
        <v>1.8366630669546433</v>
      </c>
      <c r="O123" s="23"/>
      <c r="P123" s="265"/>
    </row>
    <row r="124" spans="1:16" ht="45.75" thickBot="1" x14ac:dyDescent="0.3">
      <c r="A124" s="147"/>
      <c r="B124" s="23" t="s">
        <v>203</v>
      </c>
      <c r="C124" s="23" t="s">
        <v>856</v>
      </c>
      <c r="D124" s="213">
        <v>1</v>
      </c>
      <c r="F124" s="40" t="s">
        <v>35</v>
      </c>
      <c r="G124" s="28" t="s">
        <v>36</v>
      </c>
      <c r="H124" s="28" t="s">
        <v>11</v>
      </c>
      <c r="I124" s="41" t="s">
        <v>58</v>
      </c>
      <c r="K124" s="266" t="s">
        <v>769</v>
      </c>
      <c r="L124" s="248" t="s">
        <v>660</v>
      </c>
      <c r="M124" s="249" t="s">
        <v>473</v>
      </c>
      <c r="N124" s="267">
        <f>IFERROR(1000*(I147/D67+I148/D69),"-")</f>
        <v>2.7582613390928725</v>
      </c>
      <c r="O124" s="268"/>
      <c r="P124" s="269"/>
    </row>
    <row r="125" spans="1:16" ht="45.75" thickBot="1" x14ac:dyDescent="0.3">
      <c r="A125" s="148" t="s">
        <v>205</v>
      </c>
      <c r="B125" s="33" t="s">
        <v>206</v>
      </c>
      <c r="C125" s="33" t="s">
        <v>207</v>
      </c>
      <c r="D125" s="52">
        <f>D120+D121-D122-D123-D124</f>
        <v>2740</v>
      </c>
      <c r="F125" s="48" t="s">
        <v>167</v>
      </c>
      <c r="G125" s="20" t="s">
        <v>168</v>
      </c>
      <c r="H125" s="20" t="s">
        <v>169</v>
      </c>
      <c r="I125" s="45">
        <f>I120+$I$122*D138/$D$137</f>
        <v>20.863930885529157</v>
      </c>
    </row>
    <row r="126" spans="1:16" ht="46.5" x14ac:dyDescent="0.35">
      <c r="A126" s="263"/>
      <c r="B126" s="264" t="s">
        <v>722</v>
      </c>
      <c r="C126" s="264" t="s">
        <v>723</v>
      </c>
      <c r="D126" s="270">
        <v>100</v>
      </c>
      <c r="F126" s="42" t="s">
        <v>171</v>
      </c>
      <c r="G126" s="2" t="s">
        <v>172</v>
      </c>
      <c r="H126" s="2" t="s">
        <v>173</v>
      </c>
      <c r="I126" s="43">
        <f>I114+I122*D131/D137</f>
        <v>62.505399568034555</v>
      </c>
      <c r="K126" s="58" t="s">
        <v>155</v>
      </c>
      <c r="L126" s="32"/>
      <c r="M126" s="32"/>
      <c r="N126" s="219"/>
    </row>
    <row r="127" spans="1:16" ht="45" x14ac:dyDescent="0.25">
      <c r="A127" s="147"/>
      <c r="B127" s="23" t="s">
        <v>846</v>
      </c>
      <c r="C127" s="23" t="s">
        <v>209</v>
      </c>
      <c r="D127" s="50">
        <v>80</v>
      </c>
      <c r="F127" s="42" t="s">
        <v>176</v>
      </c>
      <c r="G127" s="2" t="s">
        <v>177</v>
      </c>
      <c r="H127" s="2" t="s">
        <v>178</v>
      </c>
      <c r="I127" s="43">
        <f>I115+I122*D132/D137</f>
        <v>67.278617710583148</v>
      </c>
      <c r="K127" s="233" t="s">
        <v>799</v>
      </c>
      <c r="L127" s="236" t="s">
        <v>629</v>
      </c>
      <c r="M127" s="216" t="s">
        <v>35</v>
      </c>
      <c r="N127" s="217" t="s">
        <v>12</v>
      </c>
    </row>
    <row r="128" spans="1:16" ht="45.75" thickBot="1" x14ac:dyDescent="0.3">
      <c r="A128" s="147"/>
      <c r="B128" s="23" t="s">
        <v>208</v>
      </c>
      <c r="C128" s="23" t="s">
        <v>855</v>
      </c>
      <c r="D128" s="63">
        <v>20</v>
      </c>
      <c r="F128" s="42" t="s">
        <v>181</v>
      </c>
      <c r="G128" s="2" t="s">
        <v>552</v>
      </c>
      <c r="H128" s="2" t="s">
        <v>612</v>
      </c>
      <c r="I128" s="43">
        <f>I121+$I$122*D139/$D$137</f>
        <v>13.909287257019438</v>
      </c>
      <c r="K128" s="235" t="s">
        <v>834</v>
      </c>
      <c r="L128" s="227" t="s">
        <v>661</v>
      </c>
      <c r="M128" s="228" t="s">
        <v>523</v>
      </c>
      <c r="N128" s="229">
        <f>1000*D119/D63</f>
        <v>2.5</v>
      </c>
      <c r="O128" s="218"/>
    </row>
    <row r="129" spans="1:9" ht="45" x14ac:dyDescent="0.25">
      <c r="A129" s="147" t="s">
        <v>212</v>
      </c>
      <c r="B129" s="35" t="s">
        <v>213</v>
      </c>
      <c r="C129" s="35" t="s">
        <v>214</v>
      </c>
      <c r="D129" s="57">
        <f>D125-D127-D128</f>
        <v>2640</v>
      </c>
      <c r="E129" s="36"/>
      <c r="F129" s="42" t="s">
        <v>184</v>
      </c>
      <c r="G129" s="2" t="s">
        <v>553</v>
      </c>
      <c r="H129" s="2" t="s">
        <v>554</v>
      </c>
      <c r="I129" s="43">
        <f>I116+I122*D133/D137</f>
        <v>57.732181425485962</v>
      </c>
    </row>
    <row r="130" spans="1:9" ht="60" x14ac:dyDescent="0.25">
      <c r="A130" s="89"/>
      <c r="B130" s="20" t="s">
        <v>215</v>
      </c>
      <c r="C130" s="120" t="s">
        <v>614</v>
      </c>
      <c r="D130" s="49">
        <v>50</v>
      </c>
      <c r="E130" s="36"/>
      <c r="F130" s="42" t="s">
        <v>187</v>
      </c>
      <c r="G130" s="2" t="s">
        <v>555</v>
      </c>
      <c r="H130" s="2" t="s">
        <v>556</v>
      </c>
      <c r="I130" s="187">
        <f>I117+I122*D134/D137</f>
        <v>9.546436285097192</v>
      </c>
    </row>
    <row r="131" spans="1:9" ht="45" x14ac:dyDescent="0.25">
      <c r="A131" s="42"/>
      <c r="B131" s="2" t="s">
        <v>219</v>
      </c>
      <c r="C131" s="23" t="s">
        <v>220</v>
      </c>
      <c r="D131" s="50">
        <v>550</v>
      </c>
      <c r="E131" s="36"/>
      <c r="F131" s="42" t="s">
        <v>190</v>
      </c>
      <c r="G131" s="2" t="s">
        <v>191</v>
      </c>
      <c r="H131" s="2" t="s">
        <v>192</v>
      </c>
      <c r="I131" s="117">
        <f>I118+$I$122*D135/$D$137</f>
        <v>3.4319654427645787</v>
      </c>
    </row>
    <row r="132" spans="1:9" ht="45" x14ac:dyDescent="0.25">
      <c r="A132" s="21"/>
      <c r="B132" s="2" t="s">
        <v>222</v>
      </c>
      <c r="C132" s="2" t="s">
        <v>223</v>
      </c>
      <c r="D132" s="50">
        <v>600</v>
      </c>
      <c r="E132" s="36"/>
      <c r="F132" s="42" t="s">
        <v>194</v>
      </c>
      <c r="G132" s="2" t="s">
        <v>195</v>
      </c>
      <c r="H132" s="2" t="s">
        <v>196</v>
      </c>
      <c r="I132" s="118">
        <f>I119+$I$122*D136/$D$137</f>
        <v>77.732181425485962</v>
      </c>
    </row>
    <row r="133" spans="1:9" ht="30" x14ac:dyDescent="0.25">
      <c r="A133" s="21"/>
      <c r="B133" s="2" t="s">
        <v>560</v>
      </c>
      <c r="C133" s="2" t="s">
        <v>561</v>
      </c>
      <c r="D133" s="50">
        <v>500</v>
      </c>
      <c r="E133" s="36"/>
      <c r="F133" s="22"/>
      <c r="G133" s="3"/>
      <c r="H133" s="85" t="s">
        <v>200</v>
      </c>
      <c r="I133" s="86">
        <f>SUM(I125:I132)-I112</f>
        <v>0</v>
      </c>
    </row>
    <row r="134" spans="1:9" x14ac:dyDescent="0.25">
      <c r="A134" s="21"/>
      <c r="B134" s="2" t="s">
        <v>562</v>
      </c>
      <c r="C134" s="2" t="s">
        <v>563</v>
      </c>
      <c r="D134" s="50">
        <v>100</v>
      </c>
      <c r="E134" s="38"/>
    </row>
    <row r="135" spans="1:9" x14ac:dyDescent="0.25">
      <c r="A135" s="42"/>
      <c r="B135" s="2" t="s">
        <v>227</v>
      </c>
      <c r="C135" s="2" t="s">
        <v>228</v>
      </c>
      <c r="D135" s="63">
        <v>15</v>
      </c>
      <c r="E135" s="38"/>
      <c r="F135" s="40" t="s">
        <v>35</v>
      </c>
      <c r="G135" s="28" t="s">
        <v>36</v>
      </c>
      <c r="H135" s="28" t="s">
        <v>11</v>
      </c>
      <c r="I135" s="41" t="s">
        <v>58</v>
      </c>
    </row>
    <row r="136" spans="1:9" x14ac:dyDescent="0.25">
      <c r="A136" s="42"/>
      <c r="B136" s="2" t="s">
        <v>230</v>
      </c>
      <c r="C136" s="2" t="s">
        <v>231</v>
      </c>
      <c r="D136" s="63">
        <v>500</v>
      </c>
      <c r="F136" s="48" t="s">
        <v>216</v>
      </c>
      <c r="G136" s="2" t="s">
        <v>210</v>
      </c>
      <c r="H136" s="20" t="s">
        <v>211</v>
      </c>
      <c r="I136" s="61">
        <f>D138+I125+D161-D159</f>
        <v>52.06393088552916</v>
      </c>
    </row>
    <row r="137" spans="1:9" x14ac:dyDescent="0.25">
      <c r="A137" s="51" t="s">
        <v>234</v>
      </c>
      <c r="B137" s="31" t="s">
        <v>235</v>
      </c>
      <c r="C137" s="33" t="s">
        <v>236</v>
      </c>
      <c r="D137" s="203">
        <f>SUM(D130:D136)</f>
        <v>2315</v>
      </c>
      <c r="E137" s="37"/>
      <c r="F137" s="42" t="s">
        <v>221</v>
      </c>
      <c r="G137" s="2" t="s">
        <v>557</v>
      </c>
      <c r="H137" s="2" t="s">
        <v>613</v>
      </c>
      <c r="I137" s="57">
        <f>D139+I128+D162-D160</f>
        <v>34.709287257019433</v>
      </c>
    </row>
    <row r="138" spans="1:9" ht="30" x14ac:dyDescent="0.25">
      <c r="A138" s="48" t="s">
        <v>248</v>
      </c>
      <c r="B138" s="119" t="s">
        <v>307</v>
      </c>
      <c r="C138" s="20" t="s">
        <v>308</v>
      </c>
      <c r="D138" s="116">
        <f>D130*D58/D60</f>
        <v>30</v>
      </c>
      <c r="E138" s="39"/>
      <c r="F138" s="42" t="s">
        <v>232</v>
      </c>
      <c r="G138" s="2" t="s">
        <v>217</v>
      </c>
      <c r="H138" s="2" t="s">
        <v>218</v>
      </c>
      <c r="I138" s="57">
        <f>D131+I126+D152-D145</f>
        <v>662.50539956803459</v>
      </c>
    </row>
    <row r="139" spans="1:9" ht="30" x14ac:dyDescent="0.25">
      <c r="A139" s="51" t="s">
        <v>251</v>
      </c>
      <c r="B139" s="31" t="s">
        <v>568</v>
      </c>
      <c r="C139" s="3" t="s">
        <v>615</v>
      </c>
      <c r="D139" s="53">
        <f>D130*D59/D60</f>
        <v>20</v>
      </c>
      <c r="F139" s="51" t="s">
        <v>237</v>
      </c>
      <c r="G139" s="3" t="s">
        <v>558</v>
      </c>
      <c r="H139" s="3" t="s">
        <v>559</v>
      </c>
      <c r="I139" s="52">
        <f>D133+I129+D154-D147</f>
        <v>707.73218142548592</v>
      </c>
    </row>
    <row r="140" spans="1:9" ht="60" x14ac:dyDescent="0.25">
      <c r="A140" s="42"/>
      <c r="B140" s="2" t="s">
        <v>238</v>
      </c>
      <c r="C140" s="83" t="s">
        <v>239</v>
      </c>
      <c r="D140" s="50">
        <v>100</v>
      </c>
    </row>
    <row r="141" spans="1:9" x14ac:dyDescent="0.25">
      <c r="A141" s="42"/>
      <c r="B141" s="2" t="s">
        <v>243</v>
      </c>
      <c r="C141" s="23" t="s">
        <v>244</v>
      </c>
      <c r="D141" s="50">
        <v>30</v>
      </c>
      <c r="F141" s="40" t="s">
        <v>35</v>
      </c>
      <c r="G141" s="28" t="s">
        <v>36</v>
      </c>
      <c r="H141" s="28" t="s">
        <v>11</v>
      </c>
      <c r="I141" s="41" t="s">
        <v>58</v>
      </c>
    </row>
    <row r="142" spans="1:9" x14ac:dyDescent="0.25">
      <c r="A142" s="42" t="s">
        <v>281</v>
      </c>
      <c r="B142" s="30" t="s">
        <v>249</v>
      </c>
      <c r="C142" s="35" t="s">
        <v>250</v>
      </c>
      <c r="D142" s="56">
        <f>D137+D140+D141</f>
        <v>2445</v>
      </c>
      <c r="F142" s="198"/>
      <c r="G142" s="4"/>
      <c r="H142" s="34"/>
      <c r="I142" s="121"/>
    </row>
    <row r="143" spans="1:9" ht="30" x14ac:dyDescent="0.25">
      <c r="A143" s="84" t="s">
        <v>284</v>
      </c>
      <c r="B143" s="31" t="s">
        <v>252</v>
      </c>
      <c r="C143" s="33" t="s">
        <v>653</v>
      </c>
      <c r="D143" s="53">
        <f>D125-D142</f>
        <v>295</v>
      </c>
      <c r="F143" s="42" t="s">
        <v>224</v>
      </c>
      <c r="G143" s="2" t="s">
        <v>225</v>
      </c>
      <c r="H143" s="2" t="s">
        <v>226</v>
      </c>
      <c r="I143" s="57">
        <f>I136+I138</f>
        <v>714.56933045356379</v>
      </c>
    </row>
    <row r="144" spans="1:9" x14ac:dyDescent="0.25">
      <c r="B144" s="2" t="s">
        <v>253</v>
      </c>
      <c r="C144" s="2" t="s">
        <v>254</v>
      </c>
      <c r="D144" s="50">
        <v>0</v>
      </c>
      <c r="F144" s="42" t="s">
        <v>229</v>
      </c>
      <c r="G144" s="2" t="s">
        <v>564</v>
      </c>
      <c r="H144" s="2" t="s">
        <v>565</v>
      </c>
      <c r="I144" s="57">
        <f>I137+I139</f>
        <v>742.44146868250539</v>
      </c>
    </row>
    <row r="145" spans="1:10" ht="30" x14ac:dyDescent="0.25">
      <c r="B145" s="2" t="s">
        <v>256</v>
      </c>
      <c r="C145" s="2" t="s">
        <v>257</v>
      </c>
      <c r="D145" s="50">
        <v>250</v>
      </c>
      <c r="F145" s="42" t="s">
        <v>240</v>
      </c>
      <c r="G145" s="2" t="s">
        <v>474</v>
      </c>
      <c r="H145" s="2" t="s">
        <v>233</v>
      </c>
      <c r="I145" s="57">
        <f>D132+I127+D153-D146</f>
        <v>467.27861771058315</v>
      </c>
    </row>
    <row r="146" spans="1:10" x14ac:dyDescent="0.25">
      <c r="B146" s="2" t="s">
        <v>259</v>
      </c>
      <c r="C146" s="2" t="s">
        <v>260</v>
      </c>
      <c r="D146" s="50">
        <v>200</v>
      </c>
      <c r="F146" s="42" t="s">
        <v>245</v>
      </c>
      <c r="G146" s="2" t="s">
        <v>566</v>
      </c>
      <c r="H146" s="2" t="s">
        <v>567</v>
      </c>
      <c r="I146" s="65">
        <f>D134+I130+D155-D148</f>
        <v>109.54643628509719</v>
      </c>
    </row>
    <row r="147" spans="1:10" ht="30" x14ac:dyDescent="0.25">
      <c r="B147" s="2" t="s">
        <v>569</v>
      </c>
      <c r="C147" s="23" t="s">
        <v>860</v>
      </c>
      <c r="D147" s="50">
        <v>100</v>
      </c>
      <c r="F147" s="42" t="s">
        <v>258</v>
      </c>
      <c r="G147" s="2" t="s">
        <v>241</v>
      </c>
      <c r="H147" s="2" t="s">
        <v>242</v>
      </c>
      <c r="I147" s="57">
        <f>D135+I131+D156-D149</f>
        <v>18.431965442764579</v>
      </c>
    </row>
    <row r="148" spans="1:10" x14ac:dyDescent="0.25">
      <c r="B148" s="2" t="s">
        <v>570</v>
      </c>
      <c r="C148" s="2" t="s">
        <v>571</v>
      </c>
      <c r="D148" s="50">
        <v>0</v>
      </c>
      <c r="F148" s="51" t="s">
        <v>261</v>
      </c>
      <c r="G148" s="3" t="s">
        <v>246</v>
      </c>
      <c r="H148" s="3" t="s">
        <v>247</v>
      </c>
      <c r="I148" s="52">
        <f>D136+I132+D157-D150</f>
        <v>587.73218142548592</v>
      </c>
    </row>
    <row r="149" spans="1:10" x14ac:dyDescent="0.25">
      <c r="A149" s="26"/>
      <c r="B149" s="77" t="s">
        <v>264</v>
      </c>
      <c r="C149" s="77" t="s">
        <v>265</v>
      </c>
      <c r="D149" s="50">
        <v>0</v>
      </c>
    </row>
    <row r="150" spans="1:10" x14ac:dyDescent="0.25">
      <c r="A150" s="84"/>
      <c r="B150" s="88" t="s">
        <v>267</v>
      </c>
      <c r="C150" s="88" t="s">
        <v>268</v>
      </c>
      <c r="D150" s="54">
        <v>0</v>
      </c>
    </row>
    <row r="151" spans="1:10" x14ac:dyDescent="0.25">
      <c r="A151" s="26"/>
      <c r="B151" s="77" t="s">
        <v>269</v>
      </c>
      <c r="C151" s="83" t="s">
        <v>270</v>
      </c>
      <c r="D151" s="50">
        <v>2</v>
      </c>
    </row>
    <row r="152" spans="1:10" s="23" customFormat="1" x14ac:dyDescent="0.25">
      <c r="A152" s="26"/>
      <c r="B152" s="77" t="s">
        <v>271</v>
      </c>
      <c r="C152" s="83" t="s">
        <v>272</v>
      </c>
      <c r="D152" s="50">
        <v>300</v>
      </c>
      <c r="E152" s="2"/>
      <c r="J152" s="2"/>
    </row>
    <row r="153" spans="1:10" x14ac:dyDescent="0.25">
      <c r="A153" s="26"/>
      <c r="B153" s="77" t="s">
        <v>273</v>
      </c>
      <c r="C153" s="83" t="s">
        <v>274</v>
      </c>
      <c r="D153" s="50">
        <v>0</v>
      </c>
    </row>
    <row r="154" spans="1:10" x14ac:dyDescent="0.25">
      <c r="A154" s="26"/>
      <c r="B154" s="77" t="s">
        <v>572</v>
      </c>
      <c r="C154" s="77" t="s">
        <v>573</v>
      </c>
      <c r="D154" s="50">
        <v>250</v>
      </c>
    </row>
    <row r="155" spans="1:10" x14ac:dyDescent="0.25">
      <c r="B155" s="2" t="s">
        <v>574</v>
      </c>
      <c r="C155" s="2" t="s">
        <v>575</v>
      </c>
      <c r="D155" s="50">
        <v>0</v>
      </c>
    </row>
    <row r="156" spans="1:10" x14ac:dyDescent="0.25">
      <c r="A156" s="26"/>
      <c r="B156" s="77" t="s">
        <v>277</v>
      </c>
      <c r="C156" s="83" t="s">
        <v>278</v>
      </c>
      <c r="D156" s="50">
        <v>0</v>
      </c>
    </row>
    <row r="157" spans="1:10" x14ac:dyDescent="0.25">
      <c r="A157" s="84"/>
      <c r="B157" s="88" t="s">
        <v>279</v>
      </c>
      <c r="C157" s="144" t="s">
        <v>280</v>
      </c>
      <c r="D157" s="54">
        <v>10</v>
      </c>
      <c r="E157" s="23"/>
    </row>
    <row r="158" spans="1:10" ht="30" x14ac:dyDescent="0.25">
      <c r="A158" s="84" t="s">
        <v>287</v>
      </c>
      <c r="B158" s="31" t="s">
        <v>282</v>
      </c>
      <c r="C158" s="33" t="s">
        <v>741</v>
      </c>
      <c r="D158" s="53">
        <f>SUM(D144:D150)-SUM(D151:D157)-D127-D128</f>
        <v>-112</v>
      </c>
      <c r="F158" s="138"/>
    </row>
    <row r="159" spans="1:10" x14ac:dyDescent="0.25">
      <c r="A159" s="146" t="s">
        <v>289</v>
      </c>
      <c r="B159" s="120" t="s">
        <v>285</v>
      </c>
      <c r="C159" s="120" t="s">
        <v>286</v>
      </c>
      <c r="D159" s="116">
        <f>D144*D58/D60</f>
        <v>0</v>
      </c>
    </row>
    <row r="160" spans="1:10" x14ac:dyDescent="0.25">
      <c r="A160" s="147" t="s">
        <v>292</v>
      </c>
      <c r="B160" s="23" t="s">
        <v>576</v>
      </c>
      <c r="C160" s="23" t="s">
        <v>616</v>
      </c>
      <c r="D160" s="56">
        <f>D144*D59/D60</f>
        <v>0</v>
      </c>
    </row>
    <row r="161" spans="1:16" x14ac:dyDescent="0.25">
      <c r="A161" s="147" t="s">
        <v>293</v>
      </c>
      <c r="B161" s="23" t="s">
        <v>290</v>
      </c>
      <c r="C161" s="23" t="s">
        <v>291</v>
      </c>
      <c r="D161" s="56">
        <f>D151*D58/D60</f>
        <v>1.2</v>
      </c>
    </row>
    <row r="162" spans="1:16" x14ac:dyDescent="0.25">
      <c r="A162" s="148" t="s">
        <v>306</v>
      </c>
      <c r="B162" s="149" t="s">
        <v>577</v>
      </c>
      <c r="C162" s="149" t="s">
        <v>617</v>
      </c>
      <c r="D162" s="53">
        <f>D151*D59/D60</f>
        <v>0.8</v>
      </c>
    </row>
    <row r="166" spans="1:16" x14ac:dyDescent="0.25">
      <c r="A166" s="6"/>
      <c r="B166" s="6"/>
      <c r="C166" s="6"/>
      <c r="D166" s="6"/>
      <c r="E166" s="6"/>
      <c r="F166" s="6"/>
      <c r="G166" s="6"/>
      <c r="H166" s="6"/>
      <c r="I166" s="6"/>
      <c r="J166" s="6"/>
      <c r="K166" s="6"/>
      <c r="L166" s="6"/>
      <c r="M166" s="6"/>
      <c r="N166" s="6"/>
    </row>
    <row r="167" spans="1:16" ht="21.75" thickBot="1" x14ac:dyDescent="0.4">
      <c r="A167" s="62" t="s">
        <v>316</v>
      </c>
      <c r="C167" s="10"/>
      <c r="D167" s="3"/>
      <c r="E167" s="17"/>
    </row>
    <row r="168" spans="1:16" ht="21" x14ac:dyDescent="0.35">
      <c r="A168" s="40" t="s">
        <v>35</v>
      </c>
      <c r="B168" s="28" t="s">
        <v>36</v>
      </c>
      <c r="C168" s="28" t="s">
        <v>11</v>
      </c>
      <c r="D168" s="41" t="s">
        <v>58</v>
      </c>
      <c r="E168" s="17"/>
      <c r="F168" s="59" t="s">
        <v>35</v>
      </c>
      <c r="G168" s="25" t="s">
        <v>36</v>
      </c>
      <c r="H168" s="25" t="s">
        <v>11</v>
      </c>
      <c r="I168" s="60" t="s">
        <v>58</v>
      </c>
      <c r="K168" s="207" t="s">
        <v>155</v>
      </c>
      <c r="L168" s="222"/>
      <c r="M168" s="222"/>
      <c r="N168" s="222"/>
      <c r="O168" s="222"/>
      <c r="P168" s="224"/>
    </row>
    <row r="169" spans="1:16" ht="15" customHeight="1" x14ac:dyDescent="0.25">
      <c r="A169" s="81"/>
      <c r="B169" s="4"/>
      <c r="C169" s="29" t="s">
        <v>662</v>
      </c>
      <c r="D169" s="60"/>
      <c r="E169" s="17"/>
      <c r="F169" s="48"/>
      <c r="G169" s="20"/>
      <c r="H169" s="29" t="s">
        <v>830</v>
      </c>
      <c r="I169" s="68"/>
      <c r="J169" s="202"/>
      <c r="K169" s="339" t="s">
        <v>835</v>
      </c>
      <c r="L169" s="340"/>
      <c r="M169" s="340"/>
      <c r="N169" s="340"/>
      <c r="O169" s="340"/>
      <c r="P169" s="341"/>
    </row>
    <row r="170" spans="1:16" ht="30" customHeight="1" x14ac:dyDescent="0.25">
      <c r="A170" s="26"/>
      <c r="B170" s="23" t="s">
        <v>641</v>
      </c>
      <c r="C170" s="2" t="s">
        <v>654</v>
      </c>
      <c r="D170" s="63">
        <v>2985</v>
      </c>
      <c r="F170" s="272"/>
      <c r="G170" s="23" t="s">
        <v>796</v>
      </c>
      <c r="H170" s="23" t="s">
        <v>795</v>
      </c>
      <c r="I170" s="111">
        <v>2.5</v>
      </c>
      <c r="K170" s="332" t="s">
        <v>836</v>
      </c>
      <c r="L170" s="330"/>
      <c r="M170" s="330"/>
      <c r="N170" s="330"/>
      <c r="O170" s="330"/>
      <c r="P170" s="331"/>
    </row>
    <row r="171" spans="1:16" ht="45" x14ac:dyDescent="0.25">
      <c r="A171" s="26"/>
      <c r="B171" s="2" t="s">
        <v>317</v>
      </c>
      <c r="C171" s="2" t="s">
        <v>318</v>
      </c>
      <c r="D171" s="63">
        <v>30</v>
      </c>
      <c r="F171" s="272"/>
      <c r="G171" s="23" t="s">
        <v>822</v>
      </c>
      <c r="H171" s="23" t="s">
        <v>824</v>
      </c>
      <c r="I171" s="213">
        <v>1</v>
      </c>
      <c r="K171" s="279"/>
      <c r="L171" s="176"/>
      <c r="M171" s="158" t="s">
        <v>800</v>
      </c>
      <c r="N171" s="280" t="s">
        <v>800</v>
      </c>
      <c r="O171" s="158" t="s">
        <v>801</v>
      </c>
      <c r="P171" s="281" t="s">
        <v>801</v>
      </c>
    </row>
    <row r="172" spans="1:16" ht="30" x14ac:dyDescent="0.25">
      <c r="A172" s="26"/>
      <c r="B172" s="2" t="s">
        <v>319</v>
      </c>
      <c r="C172" s="2" t="s">
        <v>320</v>
      </c>
      <c r="D172" s="63">
        <v>10</v>
      </c>
      <c r="E172" s="13"/>
      <c r="F172" s="147"/>
      <c r="G172" s="23" t="s">
        <v>823</v>
      </c>
      <c r="H172" s="23" t="s">
        <v>825</v>
      </c>
      <c r="I172" s="63">
        <v>2</v>
      </c>
      <c r="K172" s="282" t="s">
        <v>758</v>
      </c>
      <c r="L172" s="172" t="s">
        <v>629</v>
      </c>
      <c r="M172" s="250" t="s">
        <v>35</v>
      </c>
      <c r="N172" s="172" t="s">
        <v>12</v>
      </c>
      <c r="O172" s="250" t="s">
        <v>35</v>
      </c>
      <c r="P172" s="283" t="s">
        <v>12</v>
      </c>
    </row>
    <row r="173" spans="1:16" ht="30" x14ac:dyDescent="0.25">
      <c r="A173" s="26" t="s">
        <v>324</v>
      </c>
      <c r="B173" s="30" t="s">
        <v>325</v>
      </c>
      <c r="C173" s="30" t="s">
        <v>326</v>
      </c>
      <c r="D173" s="56">
        <f>D170+D171-D172</f>
        <v>3005</v>
      </c>
      <c r="F173" s="148" t="s">
        <v>334</v>
      </c>
      <c r="G173" s="33" t="s">
        <v>820</v>
      </c>
      <c r="H173" s="33" t="s">
        <v>821</v>
      </c>
      <c r="I173" s="66">
        <f>I170+I171+I172</f>
        <v>5.5</v>
      </c>
      <c r="J173" s="110"/>
      <c r="K173" s="232" t="s">
        <v>771</v>
      </c>
      <c r="L173" s="225" t="s">
        <v>659</v>
      </c>
      <c r="M173" s="158" t="s">
        <v>668</v>
      </c>
      <c r="N173" s="254">
        <f>I176*1000/D71</f>
        <v>7.7763931888544908</v>
      </c>
      <c r="O173" s="158" t="s">
        <v>684</v>
      </c>
      <c r="P173" s="255">
        <f>I200*1000/D71</f>
        <v>0.37368421052631579</v>
      </c>
    </row>
    <row r="174" spans="1:16" x14ac:dyDescent="0.25">
      <c r="A174" s="26"/>
      <c r="C174" s="30" t="s">
        <v>327</v>
      </c>
      <c r="D174" s="69">
        <f>D173-D176-D189</f>
        <v>0</v>
      </c>
      <c r="F174" s="23"/>
      <c r="G174" s="23"/>
      <c r="H174" s="23"/>
      <c r="K174" s="232" t="s">
        <v>762</v>
      </c>
      <c r="L174" s="225" t="s">
        <v>255</v>
      </c>
      <c r="M174" s="158" t="s">
        <v>669</v>
      </c>
      <c r="N174" s="254">
        <f>I191*1000/D62</f>
        <v>6.6257354252042893</v>
      </c>
      <c r="O174" s="158" t="s">
        <v>685</v>
      </c>
      <c r="P174" s="255">
        <f>I201*1000/D62</f>
        <v>0.40400000000000003</v>
      </c>
    </row>
    <row r="175" spans="1:16" x14ac:dyDescent="0.25">
      <c r="A175" s="59"/>
      <c r="B175" s="25"/>
      <c r="C175" s="87" t="s">
        <v>328</v>
      </c>
      <c r="D175" s="60"/>
      <c r="F175" s="273" t="s">
        <v>35</v>
      </c>
      <c r="G175" s="274" t="s">
        <v>36</v>
      </c>
      <c r="H175" s="274" t="s">
        <v>11</v>
      </c>
      <c r="I175" s="60" t="s">
        <v>58</v>
      </c>
      <c r="K175" s="232" t="s">
        <v>770</v>
      </c>
      <c r="L175" s="225" t="s">
        <v>255</v>
      </c>
      <c r="M175" s="158" t="s">
        <v>670</v>
      </c>
      <c r="N175" s="254">
        <f>IFERROR(1000*I193/D65,"-")</f>
        <v>12.791521186102653</v>
      </c>
      <c r="O175" s="158" t="s">
        <v>736</v>
      </c>
      <c r="P175" s="255">
        <f>IFERROR(1000*I203/D65,"-")</f>
        <v>0.54</v>
      </c>
    </row>
    <row r="176" spans="1:16" x14ac:dyDescent="0.25">
      <c r="A176" s="42"/>
      <c r="B176" s="2" t="s">
        <v>332</v>
      </c>
      <c r="C176" s="2" t="s">
        <v>333</v>
      </c>
      <c r="D176" s="63">
        <v>3005</v>
      </c>
      <c r="F176" s="263" t="s">
        <v>339</v>
      </c>
      <c r="G176" s="264" t="s">
        <v>322</v>
      </c>
      <c r="H176" s="144" t="s">
        <v>323</v>
      </c>
      <c r="I176" s="288">
        <f>D187+D199+D206-I173</f>
        <v>2955.0294117647063</v>
      </c>
      <c r="K176" s="232" t="s">
        <v>764</v>
      </c>
      <c r="L176" s="225" t="s">
        <v>255</v>
      </c>
      <c r="M176" s="158" t="s">
        <v>671</v>
      </c>
      <c r="N176" s="254">
        <f>IFERROR(1000*(I191/D62+I193/D65),"-")</f>
        <v>19.417256611306943</v>
      </c>
      <c r="O176" s="158" t="s">
        <v>737</v>
      </c>
      <c r="P176" s="255">
        <f>IFERROR(1000*(I201/D62+I203/D65),"-")</f>
        <v>0.94399999999999995</v>
      </c>
    </row>
    <row r="177" spans="1:16" x14ac:dyDescent="0.25">
      <c r="A177" s="26"/>
      <c r="B177" s="2" t="s">
        <v>337</v>
      </c>
      <c r="C177" s="2" t="s">
        <v>338</v>
      </c>
      <c r="D177" s="63">
        <v>0</v>
      </c>
      <c r="F177" s="23"/>
      <c r="G177" s="23"/>
      <c r="H177" s="23"/>
      <c r="K177" s="232" t="s">
        <v>765</v>
      </c>
      <c r="L177" s="225" t="s">
        <v>255</v>
      </c>
      <c r="M177" s="158" t="s">
        <v>679</v>
      </c>
      <c r="N177" s="254">
        <f>I192*1000/D63</f>
        <v>1.7466830330946985</v>
      </c>
      <c r="O177" s="158" t="s">
        <v>738</v>
      </c>
      <c r="P177" s="255">
        <f>I202*1000/D63</f>
        <v>0.10199999999999999</v>
      </c>
    </row>
    <row r="178" spans="1:16" x14ac:dyDescent="0.25">
      <c r="A178" s="26"/>
      <c r="B178" s="2" t="s">
        <v>340</v>
      </c>
      <c r="C178" s="2" t="s">
        <v>341</v>
      </c>
      <c r="D178" s="63">
        <v>0</v>
      </c>
      <c r="F178" s="273" t="s">
        <v>35</v>
      </c>
      <c r="G178" s="274" t="s">
        <v>36</v>
      </c>
      <c r="H178" s="274" t="s">
        <v>11</v>
      </c>
      <c r="I178" s="41" t="s">
        <v>58</v>
      </c>
      <c r="K178" s="232" t="s">
        <v>772</v>
      </c>
      <c r="L178" s="225" t="s">
        <v>255</v>
      </c>
      <c r="M178" s="158" t="s">
        <v>680</v>
      </c>
      <c r="N178" s="254">
        <f>IFERROR(1000*I194/D66,"-")</f>
        <v>15.06092337783976</v>
      </c>
      <c r="O178" s="158" t="s">
        <v>759</v>
      </c>
      <c r="P178" s="284">
        <f>IFERROR(I204/D66,"-")</f>
        <v>6.9999999999999999E-4</v>
      </c>
    </row>
    <row r="179" spans="1:16" ht="30" x14ac:dyDescent="0.25">
      <c r="A179" s="42"/>
      <c r="B179" s="2" t="s">
        <v>343</v>
      </c>
      <c r="C179" s="2" t="s">
        <v>344</v>
      </c>
      <c r="D179" s="63">
        <v>30</v>
      </c>
      <c r="F179" s="146" t="s">
        <v>342</v>
      </c>
      <c r="G179" s="120" t="s">
        <v>330</v>
      </c>
      <c r="H179" s="120" t="s">
        <v>331</v>
      </c>
      <c r="I179" s="116">
        <f>D187*I143/(D129-(D119-D123))</f>
        <v>936.7603137806434</v>
      </c>
      <c r="K179" s="232" t="s">
        <v>767</v>
      </c>
      <c r="L179" s="225" t="s">
        <v>255</v>
      </c>
      <c r="M179" s="158" t="s">
        <v>681</v>
      </c>
      <c r="N179" s="254">
        <f>IFERROR(1000*(I192/D63+I194/D66),"-")</f>
        <v>16.807606410934458</v>
      </c>
      <c r="O179" s="158" t="s">
        <v>751</v>
      </c>
      <c r="P179" s="255">
        <f>IFERROR(1000*(I202/D63+I204/D66),"-")</f>
        <v>0.80199999999999994</v>
      </c>
    </row>
    <row r="180" spans="1:16" ht="30" x14ac:dyDescent="0.25">
      <c r="A180" s="42"/>
      <c r="B180" s="2" t="s">
        <v>345</v>
      </c>
      <c r="C180" s="2" t="s">
        <v>346</v>
      </c>
      <c r="D180" s="63">
        <v>20</v>
      </c>
      <c r="F180" s="147" t="s">
        <v>350</v>
      </c>
      <c r="G180" s="23" t="s">
        <v>583</v>
      </c>
      <c r="H180" s="23" t="s">
        <v>584</v>
      </c>
      <c r="I180" s="56">
        <f>D187*(I144-(D119-D123))/(D129-(D119-D123))</f>
        <v>330.93660661893972</v>
      </c>
      <c r="J180" s="14"/>
      <c r="K180" s="232" t="s">
        <v>769</v>
      </c>
      <c r="L180" s="225" t="s">
        <v>660</v>
      </c>
      <c r="M180" s="158" t="s">
        <v>682</v>
      </c>
      <c r="N180" s="252">
        <f>IFERROR(1000*(I195/D67+I196/D69),"-")</f>
        <v>3.7940509114264023</v>
      </c>
      <c r="O180" s="158" t="s">
        <v>752</v>
      </c>
      <c r="P180" s="253">
        <f>IFERROR(1000*(I205/D67+I206/D69),"-")</f>
        <v>0.17812500000000001</v>
      </c>
    </row>
    <row r="181" spans="1:16" ht="45.75" thickBot="1" x14ac:dyDescent="0.3">
      <c r="A181" s="84" t="s">
        <v>347</v>
      </c>
      <c r="B181" s="31" t="s">
        <v>348</v>
      </c>
      <c r="C181" s="31" t="s">
        <v>349</v>
      </c>
      <c r="D181" s="53">
        <f>SUM(D176:D180)</f>
        <v>3055</v>
      </c>
      <c r="F181" s="147" t="s">
        <v>354</v>
      </c>
      <c r="G181" s="23" t="s">
        <v>335</v>
      </c>
      <c r="H181" s="23" t="s">
        <v>336</v>
      </c>
      <c r="I181" s="56">
        <f>D187*I145/(D129-(D119-D123))</f>
        <v>612.57605930513262</v>
      </c>
      <c r="J181" s="14"/>
      <c r="K181" s="247" t="s">
        <v>768</v>
      </c>
      <c r="L181" s="248" t="s">
        <v>660</v>
      </c>
      <c r="M181" s="249" t="s">
        <v>683</v>
      </c>
      <c r="N181" s="267">
        <f>1000*I196/D69</f>
        <v>2.4858872668435503</v>
      </c>
      <c r="O181" s="249" t="s">
        <v>826</v>
      </c>
      <c r="P181" s="285">
        <f>1000*I206/D69</f>
        <v>7.8125E-2</v>
      </c>
    </row>
    <row r="182" spans="1:16" ht="60" x14ac:dyDescent="0.25">
      <c r="A182" s="42"/>
      <c r="B182" s="2" t="s">
        <v>353</v>
      </c>
      <c r="C182" s="23" t="s">
        <v>853</v>
      </c>
      <c r="D182" s="64">
        <v>0.85</v>
      </c>
      <c r="F182" s="147" t="s">
        <v>359</v>
      </c>
      <c r="G182" s="23" t="s">
        <v>585</v>
      </c>
      <c r="H182" s="23" t="s">
        <v>586</v>
      </c>
      <c r="I182" s="287">
        <f>D187*I146/(D129-(D119-D123))</f>
        <v>143.60923377839762</v>
      </c>
    </row>
    <row r="183" spans="1:16" ht="30" x14ac:dyDescent="0.25">
      <c r="A183" s="97" t="s">
        <v>355</v>
      </c>
      <c r="B183" s="35" t="s">
        <v>847</v>
      </c>
      <c r="C183" s="35" t="s">
        <v>829</v>
      </c>
      <c r="D183" s="65">
        <f>D122/D182</f>
        <v>117.64705882352942</v>
      </c>
      <c r="F183" s="147" t="s">
        <v>362</v>
      </c>
      <c r="G183" s="83" t="s">
        <v>486</v>
      </c>
      <c r="H183" s="83" t="s">
        <v>493</v>
      </c>
      <c r="I183" s="287">
        <f>D187*I147/(D129-(D119-D123))</f>
        <v>24.163272891657044</v>
      </c>
    </row>
    <row r="184" spans="1:16" ht="30" x14ac:dyDescent="0.25">
      <c r="A184" s="271" t="s">
        <v>356</v>
      </c>
      <c r="B184" s="33" t="s">
        <v>725</v>
      </c>
      <c r="C184" s="33" t="s">
        <v>854</v>
      </c>
      <c r="D184" s="286">
        <f>D124/D182</f>
        <v>1.1764705882352942</v>
      </c>
      <c r="F184" s="148" t="s">
        <v>364</v>
      </c>
      <c r="G184" s="144" t="s">
        <v>487</v>
      </c>
      <c r="H184" s="144" t="s">
        <v>492</v>
      </c>
      <c r="I184" s="53">
        <f>D187*I148/(D129-(D119-D123))</f>
        <v>770.48392538993608</v>
      </c>
    </row>
    <row r="185" spans="1:16" ht="45" x14ac:dyDescent="0.25">
      <c r="A185" s="97"/>
      <c r="B185" s="23" t="s">
        <v>726</v>
      </c>
      <c r="C185" s="23" t="s">
        <v>727</v>
      </c>
      <c r="D185" s="73">
        <v>0.85</v>
      </c>
      <c r="F185" s="23"/>
      <c r="G185" s="23"/>
      <c r="H185" s="23"/>
    </row>
    <row r="186" spans="1:16" x14ac:dyDescent="0.25">
      <c r="A186" s="271" t="s">
        <v>373</v>
      </c>
      <c r="B186" s="33" t="s">
        <v>827</v>
      </c>
      <c r="C186" s="33" t="s">
        <v>728</v>
      </c>
      <c r="D186" s="66">
        <f>IFERROR(D126/D185,"0")</f>
        <v>117.64705882352942</v>
      </c>
      <c r="F186" s="273" t="s">
        <v>35</v>
      </c>
      <c r="G186" s="274" t="s">
        <v>36</v>
      </c>
      <c r="H186" s="274" t="s">
        <v>11</v>
      </c>
      <c r="I186" s="41" t="s">
        <v>58</v>
      </c>
    </row>
    <row r="187" spans="1:16" ht="45" x14ac:dyDescent="0.25">
      <c r="A187" s="97" t="s">
        <v>375</v>
      </c>
      <c r="B187" s="35" t="s">
        <v>357</v>
      </c>
      <c r="C187" s="35" t="s">
        <v>358</v>
      </c>
      <c r="D187" s="65">
        <f>D181-D183-D184-D186</f>
        <v>2818.5294117647063</v>
      </c>
      <c r="F187" s="147" t="s">
        <v>367</v>
      </c>
      <c r="G187" s="23" t="s">
        <v>351</v>
      </c>
      <c r="H187" s="23" t="s">
        <v>352</v>
      </c>
      <c r="I187" s="56">
        <f>D207*D58/D60</f>
        <v>30.6</v>
      </c>
    </row>
    <row r="188" spans="1:16" ht="45" x14ac:dyDescent="0.25">
      <c r="A188" s="146"/>
      <c r="B188" s="120"/>
      <c r="C188" s="87" t="s">
        <v>480</v>
      </c>
      <c r="D188" s="68"/>
      <c r="F188" s="148" t="s">
        <v>369</v>
      </c>
      <c r="G188" s="149" t="s">
        <v>587</v>
      </c>
      <c r="H188" s="149" t="s">
        <v>619</v>
      </c>
      <c r="I188" s="53">
        <f>D207*D59/D60</f>
        <v>20.399999999999999</v>
      </c>
    </row>
    <row r="189" spans="1:16" x14ac:dyDescent="0.25">
      <c r="A189" s="147"/>
      <c r="B189" s="23" t="s">
        <v>361</v>
      </c>
      <c r="C189" s="23" t="s">
        <v>655</v>
      </c>
      <c r="D189" s="63">
        <v>0</v>
      </c>
      <c r="F189" s="21"/>
      <c r="I189" s="95"/>
      <c r="J189" s="206"/>
    </row>
    <row r="190" spans="1:16" x14ac:dyDescent="0.25">
      <c r="A190" s="97"/>
      <c r="B190" s="23" t="s">
        <v>363</v>
      </c>
      <c r="C190" s="23" t="s">
        <v>338</v>
      </c>
      <c r="D190" s="63">
        <v>5</v>
      </c>
      <c r="F190" s="40" t="s">
        <v>35</v>
      </c>
      <c r="G190" s="28" t="s">
        <v>36</v>
      </c>
      <c r="H190" s="28" t="s">
        <v>11</v>
      </c>
      <c r="I190" s="41" t="s">
        <v>58</v>
      </c>
    </row>
    <row r="191" spans="1:16" x14ac:dyDescent="0.25">
      <c r="A191" s="97"/>
      <c r="B191" s="23" t="s">
        <v>366</v>
      </c>
      <c r="C191" s="23" t="s">
        <v>341</v>
      </c>
      <c r="D191" s="63">
        <v>0</v>
      </c>
      <c r="F191" s="146" t="s">
        <v>372</v>
      </c>
      <c r="G191" s="20" t="s">
        <v>360</v>
      </c>
      <c r="H191" s="20" t="s">
        <v>743</v>
      </c>
      <c r="I191" s="61">
        <f>I179+D195+I187+D208-I170-I171</f>
        <v>993.86031378064342</v>
      </c>
    </row>
    <row r="192" spans="1:16" x14ac:dyDescent="0.25">
      <c r="A192" s="147"/>
      <c r="B192" s="23" t="s">
        <v>368</v>
      </c>
      <c r="C192" s="23" t="s">
        <v>344</v>
      </c>
      <c r="D192" s="63">
        <v>10</v>
      </c>
      <c r="F192" s="147" t="s">
        <v>377</v>
      </c>
      <c r="G192" s="2" t="s">
        <v>588</v>
      </c>
      <c r="H192" s="2" t="s">
        <v>744</v>
      </c>
      <c r="I192" s="67">
        <f>I180+I188+D209-I172</f>
        <v>349.3366066189397</v>
      </c>
      <c r="J192" s="140"/>
    </row>
    <row r="193" spans="1:11" x14ac:dyDescent="0.25">
      <c r="A193" s="147"/>
      <c r="B193" s="23" t="s">
        <v>370</v>
      </c>
      <c r="C193" s="23" t="s">
        <v>371</v>
      </c>
      <c r="D193" s="63">
        <v>55</v>
      </c>
      <c r="F193" s="147" t="s">
        <v>381</v>
      </c>
      <c r="G193" s="2" t="s">
        <v>365</v>
      </c>
      <c r="H193" s="2" t="s">
        <v>745</v>
      </c>
      <c r="I193" s="67">
        <f>I181+D196+D210</f>
        <v>639.57605930513262</v>
      </c>
    </row>
    <row r="194" spans="1:11" x14ac:dyDescent="0.25">
      <c r="A194" s="97" t="s">
        <v>401</v>
      </c>
      <c r="B194" s="35" t="s">
        <v>374</v>
      </c>
      <c r="C194" s="35" t="s">
        <v>812</v>
      </c>
      <c r="D194" s="65">
        <f>SUM(D189:D193)</f>
        <v>70</v>
      </c>
      <c r="F194" s="147" t="s">
        <v>386</v>
      </c>
      <c r="G194" s="2" t="s">
        <v>589</v>
      </c>
      <c r="H194" s="2" t="s">
        <v>746</v>
      </c>
      <c r="I194" s="56">
        <f>I182+D197+D211</f>
        <v>150.60923377839762</v>
      </c>
    </row>
    <row r="195" spans="1:11" ht="30" x14ac:dyDescent="0.25">
      <c r="B195" s="2" t="s">
        <v>733</v>
      </c>
      <c r="C195" s="2" t="s">
        <v>477</v>
      </c>
      <c r="D195" s="63">
        <v>30</v>
      </c>
      <c r="F195" s="147" t="s">
        <v>391</v>
      </c>
      <c r="G195" s="77" t="s">
        <v>488</v>
      </c>
      <c r="H195" s="77" t="s">
        <v>747</v>
      </c>
      <c r="I195" s="57">
        <f>I183+D212</f>
        <v>26.163272891657044</v>
      </c>
    </row>
    <row r="196" spans="1:11" ht="30" x14ac:dyDescent="0.25">
      <c r="A196" s="26"/>
      <c r="B196" s="2" t="s">
        <v>478</v>
      </c>
      <c r="C196" s="2" t="s">
        <v>479</v>
      </c>
      <c r="D196" s="50">
        <v>15</v>
      </c>
      <c r="F196" s="148" t="s">
        <v>396</v>
      </c>
      <c r="G196" s="88" t="s">
        <v>489</v>
      </c>
      <c r="H196" s="88" t="s">
        <v>748</v>
      </c>
      <c r="I196" s="52">
        <f>I184+D198+D213</f>
        <v>795.48392538993608</v>
      </c>
    </row>
    <row r="197" spans="1:11" ht="30" x14ac:dyDescent="0.25">
      <c r="A197" s="26"/>
      <c r="B197" s="2" t="s">
        <v>590</v>
      </c>
      <c r="C197" s="2" t="s">
        <v>620</v>
      </c>
      <c r="D197" s="50">
        <v>5</v>
      </c>
    </row>
    <row r="198" spans="1:11" ht="30" customHeight="1" x14ac:dyDescent="0.25">
      <c r="A198" s="26"/>
      <c r="B198" s="2" t="s">
        <v>475</v>
      </c>
      <c r="C198" s="2" t="s">
        <v>476</v>
      </c>
      <c r="D198" s="50">
        <v>20</v>
      </c>
      <c r="F198" s="333" t="s">
        <v>841</v>
      </c>
      <c r="G198" s="334"/>
      <c r="H198" s="334"/>
      <c r="I198" s="335"/>
      <c r="K198" s="14"/>
    </row>
    <row r="199" spans="1:11" x14ac:dyDescent="0.25">
      <c r="A199" s="97" t="s">
        <v>411</v>
      </c>
      <c r="B199" s="35" t="s">
        <v>374</v>
      </c>
      <c r="C199" s="35" t="s">
        <v>813</v>
      </c>
      <c r="D199" s="65">
        <f>SUM(D195:D198)</f>
        <v>70</v>
      </c>
      <c r="F199" s="275" t="s">
        <v>35</v>
      </c>
      <c r="G199" s="236" t="s">
        <v>36</v>
      </c>
      <c r="H199" s="236" t="s">
        <v>11</v>
      </c>
      <c r="I199" s="231" t="s">
        <v>58</v>
      </c>
      <c r="J199" s="140"/>
      <c r="K199" s="14"/>
    </row>
    <row r="200" spans="1:11" x14ac:dyDescent="0.25">
      <c r="A200" s="23"/>
      <c r="B200" s="23"/>
      <c r="C200" s="23" t="s">
        <v>376</v>
      </c>
      <c r="D200" s="69">
        <f>D194-D199</f>
        <v>0</v>
      </c>
      <c r="F200" s="263" t="s">
        <v>405</v>
      </c>
      <c r="G200" s="264" t="s">
        <v>693</v>
      </c>
      <c r="H200" s="276" t="s">
        <v>323</v>
      </c>
      <c r="I200" s="288">
        <f>D199+D206</f>
        <v>142</v>
      </c>
    </row>
    <row r="201" spans="1:11" ht="30" x14ac:dyDescent="0.25">
      <c r="A201" s="146"/>
      <c r="B201" s="120"/>
      <c r="C201" s="93" t="s">
        <v>380</v>
      </c>
      <c r="D201" s="70"/>
      <c r="F201" s="277" t="s">
        <v>406</v>
      </c>
      <c r="G201" s="23" t="s">
        <v>742</v>
      </c>
      <c r="H201" s="23" t="s">
        <v>743</v>
      </c>
      <c r="I201" s="56">
        <f>D195+I187+D208</f>
        <v>60.6</v>
      </c>
    </row>
    <row r="202" spans="1:11" x14ac:dyDescent="0.25">
      <c r="A202" s="147"/>
      <c r="B202" s="23" t="s">
        <v>384</v>
      </c>
      <c r="C202" s="23" t="s">
        <v>385</v>
      </c>
      <c r="D202" s="63">
        <v>10</v>
      </c>
      <c r="F202" s="277" t="s">
        <v>409</v>
      </c>
      <c r="G202" s="23" t="s">
        <v>697</v>
      </c>
      <c r="H202" s="23" t="s">
        <v>744</v>
      </c>
      <c r="I202" s="56">
        <f>I188+D209</f>
        <v>20.399999999999999</v>
      </c>
    </row>
    <row r="203" spans="1:11" x14ac:dyDescent="0.25">
      <c r="A203" s="147"/>
      <c r="B203" s="23" t="s">
        <v>389</v>
      </c>
      <c r="C203" s="23" t="s">
        <v>390</v>
      </c>
      <c r="D203" s="63">
        <v>60</v>
      </c>
      <c r="F203" s="277" t="s">
        <v>410</v>
      </c>
      <c r="G203" s="23" t="s">
        <v>698</v>
      </c>
      <c r="H203" s="23" t="s">
        <v>745</v>
      </c>
      <c r="I203" s="56">
        <f>D196+D210</f>
        <v>27</v>
      </c>
    </row>
    <row r="204" spans="1:11" x14ac:dyDescent="0.25">
      <c r="A204" s="147"/>
      <c r="B204" s="23" t="s">
        <v>394</v>
      </c>
      <c r="C204" s="23" t="s">
        <v>395</v>
      </c>
      <c r="D204" s="63">
        <v>1</v>
      </c>
      <c r="F204" s="147" t="s">
        <v>412</v>
      </c>
      <c r="G204" s="23" t="s">
        <v>694</v>
      </c>
      <c r="H204" s="23" t="s">
        <v>746</v>
      </c>
      <c r="I204" s="56">
        <f>D197+D211</f>
        <v>7</v>
      </c>
    </row>
    <row r="205" spans="1:11" x14ac:dyDescent="0.25">
      <c r="A205" s="147"/>
      <c r="B205" s="23" t="s">
        <v>399</v>
      </c>
      <c r="C205" s="23" t="s">
        <v>400</v>
      </c>
      <c r="D205" s="63">
        <v>1</v>
      </c>
      <c r="F205" s="147" t="s">
        <v>490</v>
      </c>
      <c r="G205" s="83" t="s">
        <v>695</v>
      </c>
      <c r="H205" s="83" t="s">
        <v>747</v>
      </c>
      <c r="I205" s="65">
        <f>D212</f>
        <v>2</v>
      </c>
    </row>
    <row r="206" spans="1:11" x14ac:dyDescent="0.25">
      <c r="A206" s="97" t="s">
        <v>321</v>
      </c>
      <c r="B206" s="35" t="s">
        <v>402</v>
      </c>
      <c r="C206" s="35" t="s">
        <v>814</v>
      </c>
      <c r="D206" s="65">
        <f>SUM(D202:D205)</f>
        <v>72</v>
      </c>
      <c r="F206" s="148" t="s">
        <v>491</v>
      </c>
      <c r="G206" s="144" t="s">
        <v>696</v>
      </c>
      <c r="H206" s="144" t="s">
        <v>748</v>
      </c>
      <c r="I206" s="66">
        <f>D198+D213</f>
        <v>25</v>
      </c>
    </row>
    <row r="207" spans="1:11" ht="30" x14ac:dyDescent="0.25">
      <c r="A207" s="147"/>
      <c r="B207" s="23" t="s">
        <v>403</v>
      </c>
      <c r="C207" s="23" t="s">
        <v>404</v>
      </c>
      <c r="D207" s="50">
        <v>51</v>
      </c>
    </row>
    <row r="208" spans="1:11" ht="30" customHeight="1" x14ac:dyDescent="0.25">
      <c r="A208" s="23"/>
      <c r="B208" s="23" t="s">
        <v>734</v>
      </c>
      <c r="C208" s="23" t="s">
        <v>481</v>
      </c>
      <c r="D208" s="50">
        <v>0</v>
      </c>
      <c r="F208" s="336" t="s">
        <v>840</v>
      </c>
      <c r="G208" s="337"/>
      <c r="H208" s="337"/>
      <c r="I208" s="338"/>
    </row>
    <row r="209" spans="1:16" ht="30" x14ac:dyDescent="0.25">
      <c r="A209" s="23"/>
      <c r="B209" s="23" t="s">
        <v>735</v>
      </c>
      <c r="C209" s="23" t="s">
        <v>591</v>
      </c>
      <c r="D209" s="50">
        <v>0</v>
      </c>
      <c r="F209" s="199" t="s">
        <v>35</v>
      </c>
      <c r="G209" s="200" t="s">
        <v>36</v>
      </c>
      <c r="H209" s="200" t="s">
        <v>11</v>
      </c>
      <c r="I209" s="201" t="s">
        <v>58</v>
      </c>
    </row>
    <row r="210" spans="1:16" ht="30" x14ac:dyDescent="0.25">
      <c r="A210" s="23"/>
      <c r="B210" s="23" t="s">
        <v>407</v>
      </c>
      <c r="C210" s="23" t="s">
        <v>408</v>
      </c>
      <c r="D210" s="50">
        <v>12</v>
      </c>
      <c r="F210" s="147" t="s">
        <v>524</v>
      </c>
      <c r="G210" s="77" t="s">
        <v>378</v>
      </c>
      <c r="H210" s="77" t="s">
        <v>379</v>
      </c>
      <c r="I210" s="82">
        <f>D170/D173</f>
        <v>0.99334442595673877</v>
      </c>
    </row>
    <row r="211" spans="1:16" ht="30" x14ac:dyDescent="0.25">
      <c r="A211" s="147"/>
      <c r="B211" s="23" t="s">
        <v>592</v>
      </c>
      <c r="C211" s="23" t="s">
        <v>656</v>
      </c>
      <c r="D211" s="50">
        <v>2</v>
      </c>
      <c r="F211" s="147" t="s">
        <v>525</v>
      </c>
      <c r="G211" s="77" t="s">
        <v>382</v>
      </c>
      <c r="H211" s="77" t="s">
        <v>383</v>
      </c>
      <c r="I211" s="56">
        <f>D181-I210*D176</f>
        <v>70</v>
      </c>
    </row>
    <row r="212" spans="1:16" ht="30" x14ac:dyDescent="0.25">
      <c r="A212" s="97"/>
      <c r="B212" s="23" t="s">
        <v>482</v>
      </c>
      <c r="C212" s="23" t="s">
        <v>483</v>
      </c>
      <c r="D212" s="63">
        <v>2</v>
      </c>
      <c r="F212" s="147" t="s">
        <v>665</v>
      </c>
      <c r="G212" s="77" t="s">
        <v>387</v>
      </c>
      <c r="H212" s="77" t="s">
        <v>388</v>
      </c>
      <c r="I212" s="65">
        <f>I211-D183-D184-D186</f>
        <v>-166.47058823529414</v>
      </c>
    </row>
    <row r="213" spans="1:16" ht="30" x14ac:dyDescent="0.25">
      <c r="A213" s="97"/>
      <c r="B213" s="23" t="s">
        <v>484</v>
      </c>
      <c r="C213" s="23" t="s">
        <v>485</v>
      </c>
      <c r="D213" s="63">
        <v>5</v>
      </c>
      <c r="F213" s="147" t="s">
        <v>666</v>
      </c>
      <c r="G213" s="77" t="s">
        <v>392</v>
      </c>
      <c r="H213" s="77" t="s">
        <v>393</v>
      </c>
      <c r="I213" s="65">
        <f>D194-I210*D189</f>
        <v>70</v>
      </c>
    </row>
    <row r="214" spans="1:16" x14ac:dyDescent="0.25">
      <c r="A214" s="97" t="s">
        <v>329</v>
      </c>
      <c r="B214" s="35" t="s">
        <v>402</v>
      </c>
      <c r="C214" s="35" t="s">
        <v>815</v>
      </c>
      <c r="D214" s="65">
        <f>SUM(D207:D213)</f>
        <v>72</v>
      </c>
      <c r="F214" s="148" t="s">
        <v>667</v>
      </c>
      <c r="G214" s="88" t="s">
        <v>397</v>
      </c>
      <c r="H214" s="88" t="s">
        <v>398</v>
      </c>
      <c r="I214" s="52">
        <f>I212+I213+D206-I173</f>
        <v>-29.970588235294144</v>
      </c>
    </row>
    <row r="215" spans="1:16" x14ac:dyDescent="0.25">
      <c r="A215" s="51"/>
      <c r="B215" s="3"/>
      <c r="C215" s="31" t="s">
        <v>376</v>
      </c>
      <c r="D215" s="69">
        <f>D206-D214</f>
        <v>0</v>
      </c>
    </row>
    <row r="216" spans="1:16" x14ac:dyDescent="0.25">
      <c r="A216" s="26"/>
      <c r="D216" s="96"/>
    </row>
    <row r="217" spans="1:16" x14ac:dyDescent="0.25">
      <c r="A217" s="6"/>
      <c r="B217" s="6"/>
      <c r="C217" s="6"/>
      <c r="D217" s="6"/>
      <c r="E217" s="6"/>
      <c r="F217" s="6"/>
      <c r="G217" s="6"/>
      <c r="H217" s="6"/>
      <c r="I217" s="6"/>
      <c r="J217" s="6"/>
      <c r="K217" s="6"/>
      <c r="L217" s="6"/>
      <c r="M217" s="6"/>
      <c r="N217" s="6"/>
      <c r="O217" s="6"/>
      <c r="P217" s="6"/>
    </row>
    <row r="218" spans="1:16" ht="21.75" thickBot="1" x14ac:dyDescent="0.4">
      <c r="A218" s="62" t="s">
        <v>413</v>
      </c>
      <c r="C218" s="3"/>
      <c r="D218" s="3"/>
    </row>
    <row r="219" spans="1:16" ht="21" x14ac:dyDescent="0.35">
      <c r="A219" s="40" t="s">
        <v>35</v>
      </c>
      <c r="B219" s="28" t="s">
        <v>36</v>
      </c>
      <c r="C219" s="28" t="s">
        <v>11</v>
      </c>
      <c r="D219" s="41" t="s">
        <v>58</v>
      </c>
      <c r="F219" s="40" t="s">
        <v>35</v>
      </c>
      <c r="G219" s="28" t="s">
        <v>36</v>
      </c>
      <c r="H219" s="28" t="s">
        <v>11</v>
      </c>
      <c r="I219" s="41" t="s">
        <v>58</v>
      </c>
      <c r="K219" s="207" t="s">
        <v>155</v>
      </c>
      <c r="L219" s="222"/>
      <c r="M219" s="222"/>
      <c r="N219" s="222"/>
      <c r="O219" s="222"/>
      <c r="P219" s="224"/>
    </row>
    <row r="220" spans="1:16" ht="30.75" customHeight="1" x14ac:dyDescent="0.25">
      <c r="A220" s="24"/>
      <c r="B220" s="25"/>
      <c r="C220" s="87" t="s">
        <v>414</v>
      </c>
      <c r="D220" s="60"/>
      <c r="F220" s="48" t="s">
        <v>432</v>
      </c>
      <c r="G220" s="115" t="s">
        <v>427</v>
      </c>
      <c r="H220" s="20" t="s">
        <v>428</v>
      </c>
      <c r="I220" s="293">
        <f>D229*I143/(D129-(D119-D123))</f>
        <v>15.403053736289534</v>
      </c>
      <c r="K220" s="339" t="s">
        <v>837</v>
      </c>
      <c r="L220" s="340"/>
      <c r="M220" s="340"/>
      <c r="N220" s="340"/>
      <c r="O220" s="340"/>
      <c r="P220" s="341"/>
    </row>
    <row r="221" spans="1:16" ht="30.75" customHeight="1" x14ac:dyDescent="0.25">
      <c r="A221" s="71"/>
      <c r="B221" s="2" t="s">
        <v>343</v>
      </c>
      <c r="C221" s="23" t="s">
        <v>344</v>
      </c>
      <c r="D221" s="72">
        <f>D179</f>
        <v>30</v>
      </c>
      <c r="F221" s="42" t="s">
        <v>434</v>
      </c>
      <c r="G221" s="2" t="s">
        <v>593</v>
      </c>
      <c r="H221" s="2" t="s">
        <v>594</v>
      </c>
      <c r="I221" s="187">
        <f>D229*(I144-(D119-D123))/(D129-(D119-D123))</f>
        <v>5.4415566715078416</v>
      </c>
      <c r="K221" s="332" t="s">
        <v>838</v>
      </c>
      <c r="L221" s="330"/>
      <c r="M221" s="330"/>
      <c r="N221" s="330"/>
      <c r="O221" s="330"/>
      <c r="P221" s="331"/>
    </row>
    <row r="222" spans="1:16" ht="45.75" x14ac:dyDescent="0.3">
      <c r="A222" s="71"/>
      <c r="B222" s="2" t="s">
        <v>345</v>
      </c>
      <c r="C222" s="23" t="s">
        <v>415</v>
      </c>
      <c r="D222" s="72">
        <f>D180</f>
        <v>20</v>
      </c>
      <c r="F222" s="42" t="s">
        <v>438</v>
      </c>
      <c r="G222" s="2" t="s">
        <v>430</v>
      </c>
      <c r="H222" s="2" t="s">
        <v>431</v>
      </c>
      <c r="I222" s="187">
        <f>D229*I145/(D129-(D119-D123))</f>
        <v>10.07252529834533</v>
      </c>
      <c r="K222" s="294"/>
      <c r="L222" s="176"/>
      <c r="M222" s="158" t="s">
        <v>797</v>
      </c>
      <c r="N222" s="280" t="s">
        <v>797</v>
      </c>
      <c r="O222" s="158" t="s">
        <v>798</v>
      </c>
      <c r="P222" s="295" t="s">
        <v>798</v>
      </c>
    </row>
    <row r="223" spans="1:16" ht="45" x14ac:dyDescent="0.25">
      <c r="A223" s="26" t="s">
        <v>416</v>
      </c>
      <c r="B223" s="30" t="s">
        <v>417</v>
      </c>
      <c r="C223" s="35" t="s">
        <v>418</v>
      </c>
      <c r="D223" s="67">
        <f>D221+D222</f>
        <v>50</v>
      </c>
      <c r="F223" s="42" t="s">
        <v>443</v>
      </c>
      <c r="G223" s="2" t="s">
        <v>595</v>
      </c>
      <c r="H223" s="2" t="s">
        <v>596</v>
      </c>
      <c r="I223" s="187">
        <f>D229*I146/(D129-(D119-D123))</f>
        <v>2.3613518979989609</v>
      </c>
      <c r="K223" s="282" t="s">
        <v>760</v>
      </c>
      <c r="L223" s="231" t="s">
        <v>629</v>
      </c>
      <c r="M223" s="250" t="s">
        <v>35</v>
      </c>
      <c r="N223" s="231" t="s">
        <v>12</v>
      </c>
      <c r="O223" s="250" t="s">
        <v>35</v>
      </c>
      <c r="P223" s="251" t="s">
        <v>12</v>
      </c>
    </row>
    <row r="224" spans="1:16" ht="75" x14ac:dyDescent="0.25">
      <c r="A224" s="97"/>
      <c r="B224" s="23" t="s">
        <v>816</v>
      </c>
      <c r="C224" s="23" t="s">
        <v>850</v>
      </c>
      <c r="D224" s="73">
        <v>0.9</v>
      </c>
      <c r="F224" s="42" t="s">
        <v>446</v>
      </c>
      <c r="G224" s="83" t="s">
        <v>657</v>
      </c>
      <c r="H224" s="77" t="s">
        <v>504</v>
      </c>
      <c r="I224" s="287">
        <f>D229*I147/(D129-(D119-D123))</f>
        <v>0.39731421722245919</v>
      </c>
      <c r="K224" s="232" t="s">
        <v>771</v>
      </c>
      <c r="L224" s="225" t="s">
        <v>659</v>
      </c>
      <c r="M224" s="158" t="s">
        <v>674</v>
      </c>
      <c r="N224" s="254">
        <f>D253*1000/D71</f>
        <v>0.45353892095213477</v>
      </c>
      <c r="O224" s="158" t="s">
        <v>690</v>
      </c>
      <c r="P224" s="255">
        <f>I241*1000/D71</f>
        <v>0.33157894736842103</v>
      </c>
    </row>
    <row r="225" spans="1:16" ht="30" x14ac:dyDescent="0.25">
      <c r="A225" s="97" t="s">
        <v>422</v>
      </c>
      <c r="B225" s="35" t="s">
        <v>848</v>
      </c>
      <c r="C225" s="35" t="s">
        <v>851</v>
      </c>
      <c r="D225" s="67">
        <f>(D223/D181)*(D122/D224)</f>
        <v>1.8185124568103292</v>
      </c>
      <c r="F225" s="51" t="s">
        <v>451</v>
      </c>
      <c r="G225" s="144" t="s">
        <v>658</v>
      </c>
      <c r="H225" s="88" t="s">
        <v>505</v>
      </c>
      <c r="I225" s="212">
        <f>D229*I148/(D129-(D119-D123))</f>
        <v>12.668988140447105</v>
      </c>
      <c r="J225" s="37"/>
      <c r="K225" s="232" t="s">
        <v>762</v>
      </c>
      <c r="L225" s="225" t="s">
        <v>255</v>
      </c>
      <c r="M225" s="158" t="s">
        <v>675</v>
      </c>
      <c r="N225" s="254">
        <f>I232*1000/D62</f>
        <v>0.39735369157526362</v>
      </c>
      <c r="O225" s="158" t="s">
        <v>691</v>
      </c>
      <c r="P225" s="255">
        <f>I242*1000/D62</f>
        <v>0.29466666666666669</v>
      </c>
    </row>
    <row r="226" spans="1:16" ht="30" x14ac:dyDescent="0.25">
      <c r="A226" s="271" t="s">
        <v>423</v>
      </c>
      <c r="B226" s="33" t="s">
        <v>729</v>
      </c>
      <c r="C226" s="33" t="s">
        <v>852</v>
      </c>
      <c r="D226" s="67">
        <f>(D223/D181)*(D124/D224)</f>
        <v>1.8185124568103294E-2</v>
      </c>
      <c r="K226" s="232" t="s">
        <v>773</v>
      </c>
      <c r="L226" s="225" t="s">
        <v>255</v>
      </c>
      <c r="M226" s="158" t="s">
        <v>676</v>
      </c>
      <c r="N226" s="254">
        <f>IFERROR(1000*I244/D65,"-")</f>
        <v>0.78</v>
      </c>
      <c r="O226" s="158" t="s">
        <v>692</v>
      </c>
      <c r="P226" s="255">
        <f>IFERROR(1000*I244/D65,"-")</f>
        <v>0.78</v>
      </c>
    </row>
    <row r="227" spans="1:16" ht="45" x14ac:dyDescent="0.25">
      <c r="A227" s="289"/>
      <c r="B227" s="120" t="s">
        <v>730</v>
      </c>
      <c r="C227" s="120" t="s">
        <v>731</v>
      </c>
      <c r="D227" s="73">
        <v>0.9</v>
      </c>
      <c r="F227" s="40" t="s">
        <v>35</v>
      </c>
      <c r="G227" s="28" t="s">
        <v>36</v>
      </c>
      <c r="H227" s="28" t="s">
        <v>11</v>
      </c>
      <c r="I227" s="41" t="s">
        <v>58</v>
      </c>
      <c r="K227" s="232" t="s">
        <v>764</v>
      </c>
      <c r="L227" s="225" t="s">
        <v>255</v>
      </c>
      <c r="M227" s="158" t="s">
        <v>677</v>
      </c>
      <c r="N227" s="254">
        <f>IFERROR(1000*(I232/D62+I234/D65),"-")</f>
        <v>1.3788041975421701</v>
      </c>
      <c r="O227" s="158" t="s">
        <v>739</v>
      </c>
      <c r="P227" s="255">
        <f>IFERROR(1000*(I242/D62+I244/D65),"-")</f>
        <v>1.0746666666666667</v>
      </c>
    </row>
    <row r="228" spans="1:16" ht="45" x14ac:dyDescent="0.25">
      <c r="A228" s="271" t="s">
        <v>435</v>
      </c>
      <c r="B228" s="33" t="s">
        <v>828</v>
      </c>
      <c r="C228" s="33" t="s">
        <v>732</v>
      </c>
      <c r="D228" s="212">
        <f>IFERROR((D223/D181)*(D126/D227),0)</f>
        <v>1.8185124568103292</v>
      </c>
      <c r="F228" s="42" t="s">
        <v>454</v>
      </c>
      <c r="G228" s="2" t="s">
        <v>439</v>
      </c>
      <c r="H228" s="2" t="s">
        <v>440</v>
      </c>
      <c r="I228" s="56">
        <f>D244*D58/D60</f>
        <v>13.2</v>
      </c>
      <c r="K228" s="232" t="s">
        <v>765</v>
      </c>
      <c r="L228" s="225" t="s">
        <v>255</v>
      </c>
      <c r="M228" s="158" t="s">
        <v>678</v>
      </c>
      <c r="N228" s="254">
        <f>I233*1000/D63</f>
        <v>8.1207783357539226E-2</v>
      </c>
      <c r="O228" s="158" t="s">
        <v>740</v>
      </c>
      <c r="P228" s="255">
        <f>I243*1000/D63</f>
        <v>5.3999999999999999E-2</v>
      </c>
    </row>
    <row r="229" spans="1:16" ht="45" x14ac:dyDescent="0.25">
      <c r="A229" s="26" t="s">
        <v>441</v>
      </c>
      <c r="B229" s="30" t="s">
        <v>424</v>
      </c>
      <c r="C229" s="33" t="s">
        <v>425</v>
      </c>
      <c r="D229" s="66">
        <f>D223-D225-D226-D228</f>
        <v>46.34478996181123</v>
      </c>
      <c r="E229" s="13"/>
      <c r="F229" s="51" t="s">
        <v>457</v>
      </c>
      <c r="G229" s="3" t="s">
        <v>597</v>
      </c>
      <c r="H229" s="3" t="s">
        <v>621</v>
      </c>
      <c r="I229" s="53">
        <f>D244*D59/D60</f>
        <v>8.8000000000000007</v>
      </c>
      <c r="K229" s="232" t="s">
        <v>774</v>
      </c>
      <c r="L229" s="225" t="s">
        <v>255</v>
      </c>
      <c r="M229" s="158" t="s">
        <v>686</v>
      </c>
      <c r="N229" s="254">
        <f>IFERROR(1000*I235/D66,"-")</f>
        <v>0.63613518979989614</v>
      </c>
      <c r="O229" s="158" t="s">
        <v>753</v>
      </c>
      <c r="P229" s="255">
        <f>IFERROR(1000*I245/D66,"-")</f>
        <v>0.4</v>
      </c>
    </row>
    <row r="230" spans="1:16" ht="15.75" x14ac:dyDescent="0.25">
      <c r="A230" s="59"/>
      <c r="B230" s="25"/>
      <c r="C230" s="87" t="s">
        <v>514</v>
      </c>
      <c r="D230" s="60"/>
      <c r="E230" s="13"/>
      <c r="K230" s="232" t="s">
        <v>767</v>
      </c>
      <c r="L230" s="225" t="s">
        <v>255</v>
      </c>
      <c r="M230" s="158" t="s">
        <v>687</v>
      </c>
      <c r="N230" s="254">
        <f>IFERROR(1000*(I233/D63+I235/D66),"-")</f>
        <v>0.71734297315743534</v>
      </c>
      <c r="O230" s="158" t="s">
        <v>754</v>
      </c>
      <c r="P230" s="255">
        <f>IFERROR(1000*(I243/D63+I245/D66),"-")</f>
        <v>0.45400000000000001</v>
      </c>
    </row>
    <row r="231" spans="1:16" ht="15.75" x14ac:dyDescent="0.25">
      <c r="A231" s="26"/>
      <c r="B231" s="2" t="s">
        <v>368</v>
      </c>
      <c r="C231" s="23" t="s">
        <v>344</v>
      </c>
      <c r="D231" s="72">
        <f>D192</f>
        <v>10</v>
      </c>
      <c r="E231" s="13"/>
      <c r="F231" s="40" t="s">
        <v>35</v>
      </c>
      <c r="G231" s="28" t="s">
        <v>36</v>
      </c>
      <c r="H231" s="28" t="s">
        <v>11</v>
      </c>
      <c r="I231" s="41" t="s">
        <v>58</v>
      </c>
      <c r="K231" s="232" t="s">
        <v>769</v>
      </c>
      <c r="L231" s="225" t="s">
        <v>660</v>
      </c>
      <c r="M231" s="158" t="s">
        <v>688</v>
      </c>
      <c r="N231" s="252">
        <f>IFERROR(1000*(I236/D67+I237/D69),"-")</f>
        <v>0.14695629880002017</v>
      </c>
      <c r="O231" s="158" t="s">
        <v>755</v>
      </c>
      <c r="P231" s="253">
        <f>IFERROR(1000*(I246/D67+I247/D69),"-")</f>
        <v>8.7499999999999994E-2</v>
      </c>
    </row>
    <row r="232" spans="1:16" ht="16.5" thickBot="1" x14ac:dyDescent="0.3">
      <c r="A232" s="26"/>
      <c r="B232" s="2" t="s">
        <v>370</v>
      </c>
      <c r="C232" s="23" t="s">
        <v>433</v>
      </c>
      <c r="D232" s="72">
        <f>D193</f>
        <v>55</v>
      </c>
      <c r="E232" s="13"/>
      <c r="F232" s="42" t="s">
        <v>460</v>
      </c>
      <c r="G232" s="2" t="s">
        <v>447</v>
      </c>
      <c r="H232" s="2" t="s">
        <v>448</v>
      </c>
      <c r="I232" s="46">
        <f>I220+D234+I228+D245</f>
        <v>59.603053736289539</v>
      </c>
      <c r="K232" s="247" t="s">
        <v>768</v>
      </c>
      <c r="L232" s="248" t="s">
        <v>660</v>
      </c>
      <c r="M232" s="249" t="s">
        <v>689</v>
      </c>
      <c r="N232" s="267">
        <f>1000*I237/D69</f>
        <v>0.12709058793889719</v>
      </c>
      <c r="O232" s="249" t="s">
        <v>756</v>
      </c>
      <c r="P232" s="285">
        <f>1000*I247/D69</f>
        <v>8.7499999999999994E-2</v>
      </c>
    </row>
    <row r="233" spans="1:16" ht="15.75" x14ac:dyDescent="0.25">
      <c r="A233" s="26" t="s">
        <v>462</v>
      </c>
      <c r="B233" s="30" t="s">
        <v>436</v>
      </c>
      <c r="C233" s="35" t="s">
        <v>437</v>
      </c>
      <c r="D233" s="67">
        <f>D231+D232</f>
        <v>65</v>
      </c>
      <c r="E233" s="13"/>
      <c r="F233" s="42" t="s">
        <v>461</v>
      </c>
      <c r="G233" s="2" t="s">
        <v>599</v>
      </c>
      <c r="H233" s="2" t="s">
        <v>600</v>
      </c>
      <c r="I233" s="46">
        <f>I221+I229+D246</f>
        <v>16.241556671507844</v>
      </c>
    </row>
    <row r="234" spans="1:16" ht="30" x14ac:dyDescent="0.25">
      <c r="B234" s="2" t="s">
        <v>494</v>
      </c>
      <c r="C234" s="2" t="s">
        <v>497</v>
      </c>
      <c r="D234" s="63">
        <v>30</v>
      </c>
      <c r="E234" s="13"/>
      <c r="F234" s="42" t="s">
        <v>467</v>
      </c>
      <c r="G234" s="2" t="s">
        <v>455</v>
      </c>
      <c r="H234" s="2" t="s">
        <v>456</v>
      </c>
      <c r="I234" s="46">
        <f>I222+D235+D247</f>
        <v>49.072525298345326</v>
      </c>
    </row>
    <row r="235" spans="1:16" ht="30" x14ac:dyDescent="0.25">
      <c r="A235" s="26"/>
      <c r="B235" s="2" t="s">
        <v>495</v>
      </c>
      <c r="C235" s="2" t="s">
        <v>498</v>
      </c>
      <c r="D235" s="50">
        <v>15</v>
      </c>
      <c r="E235" s="13"/>
      <c r="F235" s="42" t="s">
        <v>468</v>
      </c>
      <c r="G235" s="2" t="s">
        <v>601</v>
      </c>
      <c r="H235" s="2" t="s">
        <v>602</v>
      </c>
      <c r="I235" s="46">
        <f>I223+D236+D248</f>
        <v>6.3613518979989614</v>
      </c>
    </row>
    <row r="236" spans="1:16" ht="30" x14ac:dyDescent="0.25">
      <c r="A236" s="26"/>
      <c r="B236" s="2" t="s">
        <v>598</v>
      </c>
      <c r="C236" s="2" t="s">
        <v>622</v>
      </c>
      <c r="D236" s="50">
        <v>0</v>
      </c>
      <c r="E236" s="13"/>
      <c r="F236" s="42" t="s">
        <v>469</v>
      </c>
      <c r="G236" s="77" t="s">
        <v>506</v>
      </c>
      <c r="H236" s="77" t="s">
        <v>508</v>
      </c>
      <c r="I236" s="141">
        <f>I224+D249</f>
        <v>0.39731421722245919</v>
      </c>
    </row>
    <row r="237" spans="1:16" ht="30" x14ac:dyDescent="0.25">
      <c r="A237" s="26"/>
      <c r="B237" s="2" t="s">
        <v>496</v>
      </c>
      <c r="C237" s="2" t="s">
        <v>499</v>
      </c>
      <c r="D237" s="50">
        <v>20</v>
      </c>
      <c r="E237" s="13"/>
      <c r="F237" s="51" t="s">
        <v>470</v>
      </c>
      <c r="G237" s="88" t="s">
        <v>507</v>
      </c>
      <c r="H237" s="88" t="s">
        <v>509</v>
      </c>
      <c r="I237" s="52">
        <f>I225+D237+D250</f>
        <v>40.668988140447105</v>
      </c>
      <c r="J237" s="204"/>
    </row>
    <row r="238" spans="1:16" ht="15.75" x14ac:dyDescent="0.25">
      <c r="A238" s="26" t="s">
        <v>465</v>
      </c>
      <c r="B238" s="30" t="s">
        <v>436</v>
      </c>
      <c r="C238" s="35" t="s">
        <v>442</v>
      </c>
      <c r="D238" s="67">
        <f>SUM(D234:D237)</f>
        <v>65</v>
      </c>
      <c r="E238" s="13"/>
    </row>
    <row r="239" spans="1:16" ht="15.75" x14ac:dyDescent="0.25">
      <c r="A239" s="84"/>
      <c r="B239" s="3"/>
      <c r="C239" s="31" t="s">
        <v>200</v>
      </c>
      <c r="D239" s="69">
        <f>D233-D238</f>
        <v>0</v>
      </c>
      <c r="E239" s="13"/>
      <c r="F239" s="333" t="s">
        <v>839</v>
      </c>
      <c r="G239" s="334"/>
      <c r="H239" s="334"/>
      <c r="I239" s="335"/>
    </row>
    <row r="240" spans="1:16" ht="30" x14ac:dyDescent="0.25">
      <c r="A240" s="25"/>
      <c r="B240" s="25"/>
      <c r="C240" s="93" t="s">
        <v>444</v>
      </c>
      <c r="D240" s="74"/>
      <c r="E240" s="13"/>
      <c r="F240" s="275" t="s">
        <v>35</v>
      </c>
      <c r="G240" s="236" t="s">
        <v>36</v>
      </c>
      <c r="H240" s="236" t="s">
        <v>11</v>
      </c>
      <c r="I240" s="231" t="s">
        <v>58</v>
      </c>
    </row>
    <row r="241" spans="1:16" ht="15.75" x14ac:dyDescent="0.25">
      <c r="A241" s="81"/>
      <c r="B241" s="2" t="s">
        <v>389</v>
      </c>
      <c r="C241" s="2" t="s">
        <v>390</v>
      </c>
      <c r="D241" s="72">
        <f>D203</f>
        <v>60</v>
      </c>
      <c r="E241" s="13"/>
      <c r="F241" s="263" t="s">
        <v>471</v>
      </c>
      <c r="G241" s="276" t="s">
        <v>699</v>
      </c>
      <c r="H241" s="276" t="s">
        <v>421</v>
      </c>
      <c r="I241" s="290">
        <f>D233+D243</f>
        <v>126</v>
      </c>
    </row>
    <row r="242" spans="1:16" ht="15.75" x14ac:dyDescent="0.25">
      <c r="A242" s="81"/>
      <c r="B242" s="2" t="s">
        <v>399</v>
      </c>
      <c r="C242" s="2" t="s">
        <v>445</v>
      </c>
      <c r="D242" s="72">
        <f>D205</f>
        <v>1</v>
      </c>
      <c r="E242" s="13"/>
      <c r="F242" s="147" t="s">
        <v>510</v>
      </c>
      <c r="G242" s="23" t="s">
        <v>700</v>
      </c>
      <c r="H242" s="23" t="s">
        <v>448</v>
      </c>
      <c r="I242" s="291">
        <f>D234+I228+D245</f>
        <v>44.2</v>
      </c>
    </row>
    <row r="243" spans="1:16" ht="15.75" x14ac:dyDescent="0.25">
      <c r="A243" s="26" t="s">
        <v>419</v>
      </c>
      <c r="B243" s="30" t="s">
        <v>463</v>
      </c>
      <c r="C243" s="35" t="s">
        <v>464</v>
      </c>
      <c r="D243" s="56">
        <f>D241+D242</f>
        <v>61</v>
      </c>
      <c r="E243" s="13"/>
      <c r="F243" s="147" t="s">
        <v>511</v>
      </c>
      <c r="G243" s="23" t="s">
        <v>701</v>
      </c>
      <c r="H243" s="23" t="s">
        <v>600</v>
      </c>
      <c r="I243" s="291">
        <f>I229+D246</f>
        <v>10.8</v>
      </c>
    </row>
    <row r="244" spans="1:16" ht="30" x14ac:dyDescent="0.25">
      <c r="B244" s="2" t="s">
        <v>449</v>
      </c>
      <c r="C244" s="2" t="s">
        <v>450</v>
      </c>
      <c r="D244" s="50">
        <v>22</v>
      </c>
      <c r="E244" s="13"/>
      <c r="F244" s="147" t="s">
        <v>512</v>
      </c>
      <c r="G244" s="23" t="s">
        <v>702</v>
      </c>
      <c r="H244" s="23" t="s">
        <v>456</v>
      </c>
      <c r="I244" s="291">
        <f>D235+D247</f>
        <v>39</v>
      </c>
    </row>
    <row r="245" spans="1:16" ht="30" x14ac:dyDescent="0.25">
      <c r="B245" s="2" t="s">
        <v>452</v>
      </c>
      <c r="C245" s="2" t="s">
        <v>453</v>
      </c>
      <c r="D245" s="50">
        <v>1</v>
      </c>
      <c r="E245" s="13"/>
      <c r="F245" s="147" t="s">
        <v>513</v>
      </c>
      <c r="G245" s="23" t="s">
        <v>703</v>
      </c>
      <c r="H245" s="23" t="s">
        <v>602</v>
      </c>
      <c r="I245" s="291">
        <f>D236+D248</f>
        <v>4</v>
      </c>
    </row>
    <row r="246" spans="1:16" ht="30" x14ac:dyDescent="0.25">
      <c r="B246" s="2" t="s">
        <v>603</v>
      </c>
      <c r="C246" s="2" t="s">
        <v>604</v>
      </c>
      <c r="D246" s="50">
        <v>2</v>
      </c>
      <c r="E246" s="13"/>
      <c r="F246" s="147" t="s">
        <v>672</v>
      </c>
      <c r="G246" s="83" t="s">
        <v>704</v>
      </c>
      <c r="H246" s="83" t="s">
        <v>508</v>
      </c>
      <c r="I246" s="292">
        <f>D249</f>
        <v>0</v>
      </c>
    </row>
    <row r="247" spans="1:16" ht="30" x14ac:dyDescent="0.25">
      <c r="B247" s="2" t="s">
        <v>458</v>
      </c>
      <c r="C247" s="2" t="s">
        <v>459</v>
      </c>
      <c r="D247" s="50">
        <v>24</v>
      </c>
      <c r="E247" s="13"/>
      <c r="F247" s="148" t="s">
        <v>673</v>
      </c>
      <c r="G247" s="144" t="s">
        <v>705</v>
      </c>
      <c r="H247" s="144" t="s">
        <v>509</v>
      </c>
      <c r="I247" s="66">
        <f>D237+D250</f>
        <v>28</v>
      </c>
      <c r="J247" s="205"/>
    </row>
    <row r="248" spans="1:16" ht="30" x14ac:dyDescent="0.25">
      <c r="B248" s="2" t="s">
        <v>605</v>
      </c>
      <c r="C248" s="2" t="s">
        <v>623</v>
      </c>
      <c r="D248" s="50">
        <v>4</v>
      </c>
      <c r="E248" s="13"/>
    </row>
    <row r="249" spans="1:16" ht="30" x14ac:dyDescent="0.25">
      <c r="A249" s="26"/>
      <c r="B249" s="2" t="s">
        <v>500</v>
      </c>
      <c r="C249" s="2" t="s">
        <v>501</v>
      </c>
      <c r="D249" s="50">
        <v>0</v>
      </c>
      <c r="E249" s="13"/>
    </row>
    <row r="250" spans="1:16" ht="30" x14ac:dyDescent="0.25">
      <c r="A250" s="26"/>
      <c r="B250" s="2" t="s">
        <v>502</v>
      </c>
      <c r="C250" s="2" t="s">
        <v>503</v>
      </c>
      <c r="D250" s="50">
        <v>8</v>
      </c>
      <c r="E250" s="13"/>
    </row>
    <row r="251" spans="1:16" ht="15.75" x14ac:dyDescent="0.25">
      <c r="A251" s="26" t="s">
        <v>426</v>
      </c>
      <c r="B251" s="30" t="s">
        <v>463</v>
      </c>
      <c r="C251" s="35" t="s">
        <v>466</v>
      </c>
      <c r="D251" s="67">
        <f>SUM(D244:D250)</f>
        <v>61</v>
      </c>
      <c r="E251" s="13"/>
    </row>
    <row r="252" spans="1:16" ht="15.75" x14ac:dyDescent="0.25">
      <c r="A252" s="84"/>
      <c r="B252" s="3"/>
      <c r="C252" s="33" t="s">
        <v>376</v>
      </c>
      <c r="D252" s="69">
        <f>D251-D243</f>
        <v>0</v>
      </c>
      <c r="E252" s="13"/>
    </row>
    <row r="253" spans="1:16" ht="15.75" x14ac:dyDescent="0.25">
      <c r="A253" s="78" t="s">
        <v>429</v>
      </c>
      <c r="B253" s="91" t="s">
        <v>420</v>
      </c>
      <c r="C253" s="210" t="s">
        <v>421</v>
      </c>
      <c r="D253" s="288">
        <f>D229+D233+D243</f>
        <v>172.34478996181122</v>
      </c>
      <c r="E253" s="13"/>
    </row>
    <row r="254" spans="1:16" ht="15.75" x14ac:dyDescent="0.25">
      <c r="A254" s="209"/>
      <c r="B254" s="25"/>
      <c r="C254" s="208"/>
      <c r="D254" s="209"/>
      <c r="E254" s="13"/>
    </row>
    <row r="255" spans="1:16" x14ac:dyDescent="0.25">
      <c r="A255" s="6"/>
      <c r="B255" s="6"/>
      <c r="C255" s="6"/>
      <c r="D255" s="6"/>
      <c r="E255" s="6"/>
      <c r="F255" s="6"/>
      <c r="G255" s="6"/>
      <c r="H255" s="6"/>
      <c r="I255" s="6"/>
      <c r="J255" s="6"/>
      <c r="K255" s="6"/>
      <c r="L255" s="6"/>
      <c r="M255" s="6"/>
      <c r="N255" s="6"/>
      <c r="O255" s="6"/>
      <c r="P255" s="6"/>
    </row>
    <row r="256" spans="1:16" x14ac:dyDescent="0.25">
      <c r="A256" s="92" t="s">
        <v>472</v>
      </c>
    </row>
    <row r="257" spans="1:10" x14ac:dyDescent="0.25">
      <c r="A257" s="312"/>
      <c r="B257" s="313"/>
      <c r="C257" s="313"/>
      <c r="D257" s="313"/>
      <c r="E257" s="313"/>
      <c r="F257" s="313"/>
      <c r="G257" s="313"/>
      <c r="H257" s="313"/>
      <c r="I257" s="314"/>
      <c r="J257" s="21"/>
    </row>
    <row r="258" spans="1:10" x14ac:dyDescent="0.25">
      <c r="A258" s="315"/>
      <c r="B258" s="316"/>
      <c r="C258" s="316"/>
      <c r="D258" s="316"/>
      <c r="E258" s="316"/>
      <c r="F258" s="316"/>
      <c r="G258" s="316"/>
      <c r="H258" s="316"/>
      <c r="I258" s="317"/>
    </row>
    <row r="259" spans="1:10" x14ac:dyDescent="0.25">
      <c r="A259" s="315"/>
      <c r="B259" s="316"/>
      <c r="C259" s="316"/>
      <c r="D259" s="316"/>
      <c r="E259" s="316"/>
      <c r="F259" s="316"/>
      <c r="G259" s="316"/>
      <c r="H259" s="316"/>
      <c r="I259" s="317"/>
    </row>
    <row r="260" spans="1:10" x14ac:dyDescent="0.25">
      <c r="A260" s="318"/>
      <c r="B260" s="319"/>
      <c r="C260" s="319"/>
      <c r="D260" s="319"/>
      <c r="E260" s="319"/>
      <c r="F260" s="319"/>
      <c r="G260" s="319"/>
      <c r="H260" s="319"/>
      <c r="I260" s="320"/>
    </row>
  </sheetData>
  <mergeCells count="13">
    <mergeCell ref="A50:H53"/>
    <mergeCell ref="A257:I260"/>
    <mergeCell ref="A11:F11"/>
    <mergeCell ref="A49:H49"/>
    <mergeCell ref="K76:P76"/>
    <mergeCell ref="K77:P77"/>
    <mergeCell ref="K170:P170"/>
    <mergeCell ref="F239:I239"/>
    <mergeCell ref="F208:I208"/>
    <mergeCell ref="F198:I198"/>
    <mergeCell ref="K221:P221"/>
    <mergeCell ref="K220:P220"/>
    <mergeCell ref="K169:P169"/>
  </mergeCells>
  <phoneticPr fontId="11" type="noConversion"/>
  <dataValidations count="12">
    <dataValidation type="list" allowBlank="1" showInputMessage="1" showErrorMessage="1" sqref="G47:G48" xr:uid="{D2166BDE-1F75-421F-9FAE-10E90022CD02}">
      <formula1>"(Välj),TJ,ton,m3,Nm3,Annan enhet (ange i kommentarsfältet)"</formula1>
    </dataValidation>
    <dataValidation type="list" allowBlank="1" showInputMessage="1" showErrorMessage="1" sqref="D37 D40" xr:uid="{0FD7AF0C-206B-471F-9155-C26C505BE63D}">
      <formula1>"(Välj),Förpackningskartong,Förpackningspapper,Wellpappmaterial,Tryckpapper,Tidningspapper,Mjukpapper,Övrigt (ange i kommentarsfältet)"</formula1>
    </dataValidation>
    <dataValidation type="list" allowBlank="1" showInputMessage="1" showErrorMessage="1" sqref="D41:D42" xr:uid="{A002324F-6439-4211-BF9A-25F7F561D2B4}">
      <formula1>"(Välj),Kondens,Mottryck"</formula1>
    </dataValidation>
    <dataValidation type="list" allowBlank="1" showInputMessage="1" showErrorMessage="1" sqref="D31 D20:D21" xr:uid="{52A52E76-838C-4135-9A94-DDFF138DB4D9}">
      <formula1>"(Välj),ECF-blekt,TCF-blekt,Ditionit,Väteperoxid,Ditionit+Väteperoxid,Oblekt"</formula1>
    </dataValidation>
    <dataValidation type="list" allowBlank="1" showInputMessage="1" showErrorMessage="1" sqref="D23 D33" xr:uid="{4E2C88EB-24E8-44B6-A58D-C4E5DAB4D720}">
      <formula1>"(Välj),Inköpta,Egenproducerade,I huvudsak inköpta,I huvudsak egenproducerade"</formula1>
    </dataValidation>
    <dataValidation type="list" allowBlank="1" showInputMessage="1" showErrorMessage="1" sqref="D57" xr:uid="{FAE3CE74-51BD-41AF-825A-B263E062DC95}">
      <formula1>"(Välj),m3fub,ton"</formula1>
    </dataValidation>
    <dataValidation type="list" allowBlank="1" showInputMessage="1" showErrorMessage="1" sqref="D29 D15:D16" xr:uid="{2344AF17-C97B-43A7-85B4-1292CE75C6D5}">
      <formula1>"(Välj),Löv - rundved,Löv - flis,Barr - rundved,Barr - flis"</formula1>
    </dataValidation>
    <dataValidation type="list" allowBlank="1" showInputMessage="1" showErrorMessage="1" sqref="D18" xr:uid="{683B2A7D-CB98-47BB-9DF2-E28CE59CAA59}">
      <formula1>"(Välj),pappersmassa,dissolvingmassa,annat"</formula1>
    </dataValidation>
    <dataValidation type="list" allowBlank="1" showInputMessage="1" showErrorMessage="1" sqref="D39" xr:uid="{4208C664-7E8F-4391-A12B-F0C4FA703629}">
      <formula1>"(Välj),Fyllmedel,Bestrykning"</formula1>
    </dataValidation>
    <dataValidation type="list" allowBlank="1" showInputMessage="1" showErrorMessage="1" sqref="D47" xr:uid="{0624A389-2636-4D44-AC93-C056B7EBD6EE}">
      <formula1>"(Välj),Lignin,Metanol,Annan (ange i kommentarsfältet),Ingen"</formula1>
    </dataValidation>
    <dataValidation type="list" allowBlank="1" showInputMessage="1" showErrorMessage="1" sqref="G15:G16 G29" xr:uid="{B7A6031F-0F62-4EB1-8261-3DDBAC2D71F6}">
      <formula1>"(Välj),m3fub,ton,%,Annan enhet (ange i kommentarsfältet)"</formula1>
    </dataValidation>
    <dataValidation type="list" allowBlank="1" showInputMessage="1" showErrorMessage="1" sqref="D27" xr:uid="{8A089125-0BE2-41D8-80FF-2C29C5D86908}">
      <formula1>"Välj,TMP,CTMP,Slip"</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B1C578-CFA7-4BCB-9193-6AA93C1F9650}"/>
</file>

<file path=customXml/itemProps2.xml><?xml version="1.0" encoding="utf-8"?>
<ds:datastoreItem xmlns:ds="http://schemas.openxmlformats.org/officeDocument/2006/customXml" ds:itemID="{CE78FFB4-874E-4E8F-98CD-5104BDDBC9E7}">
  <ds:schemaRefs>
    <ds:schemaRef ds:uri="http://schemas.microsoft.com/sharepoint/v3/contenttype/forms"/>
  </ds:schemaRefs>
</ds:datastoreItem>
</file>

<file path=customXml/itemProps3.xml><?xml version="1.0" encoding="utf-8"?>
<ds:datastoreItem xmlns:ds="http://schemas.openxmlformats.org/officeDocument/2006/customXml" ds:itemID="{FAA41BBA-CB63-44F9-93AA-6DE2A7C0D458}">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Sulfat+Mek+Papper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Fernandez, Hanna</dc:creator>
  <cp:keywords/>
  <dc:description/>
  <cp:lastModifiedBy>Elin  Svensson</cp:lastModifiedBy>
  <cp:revision/>
  <dcterms:created xsi:type="dcterms:W3CDTF">2018-09-17T06:42:26Z</dcterms:created>
  <dcterms:modified xsi:type="dcterms:W3CDTF">2025-07-08T06:08:41Z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