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6" documentId="8_{7DE0C2A1-60AE-45FB-97A0-F17BB02BAA64}" xr6:coauthVersionLast="47" xr6:coauthVersionMax="47" xr10:uidLastSave="{1517A574-A6C4-4202-B85C-89415E51F136}"/>
  <bookViews>
    <workbookView xWindow="-120" yWindow="-120" windowWidth="29040" windowHeight="15720" xr2:uid="{81CFD70E-8034-4963-A311-A79E2EEFE8E7}"/>
  </bookViews>
  <sheets>
    <sheet name="Mek+Papp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3" i="2" l="1"/>
  <c r="N63" i="2"/>
  <c r="D174" i="2"/>
  <c r="N90" i="2"/>
  <c r="N88" i="2"/>
  <c r="P88" i="2"/>
  <c r="P66" i="2"/>
  <c r="P69" i="2"/>
  <c r="N69" i="2"/>
  <c r="D138" i="2"/>
  <c r="D135" i="2"/>
  <c r="N98" i="2"/>
  <c r="I92" i="2"/>
  <c r="D64" i="2"/>
  <c r="I141" i="2" l="1"/>
  <c r="P125" i="2" s="1"/>
  <c r="I186" i="2"/>
  <c r="I185" i="2"/>
  <c r="I184" i="2"/>
  <c r="P172" i="2" s="1"/>
  <c r="I183" i="2"/>
  <c r="P171" i="2" s="1"/>
  <c r="I144" i="2"/>
  <c r="P129" i="2" s="1"/>
  <c r="I143" i="2"/>
  <c r="I142" i="2"/>
  <c r="P126" i="2" s="1"/>
  <c r="D137" i="2"/>
  <c r="D134" i="2"/>
  <c r="P174" i="2" l="1"/>
  <c r="P128" i="2"/>
  <c r="P173" i="2"/>
  <c r="P175" i="2"/>
  <c r="P127" i="2"/>
  <c r="D145" i="2" l="1"/>
  <c r="D185" i="2" l="1"/>
  <c r="D177" i="2"/>
  <c r="D178" i="2"/>
  <c r="D132" i="2" l="1"/>
  <c r="D182" i="2"/>
  <c r="D89" i="2" l="1"/>
  <c r="D91" i="2" s="1"/>
  <c r="D96" i="2" s="1"/>
  <c r="D148" i="2"/>
  <c r="D69" i="2"/>
  <c r="D72" i="2" s="1"/>
  <c r="D168" i="2"/>
  <c r="D167" i="2"/>
  <c r="D100" i="2" l="1"/>
  <c r="N97" i="2" s="1"/>
  <c r="D169" i="2"/>
  <c r="D124" i="2"/>
  <c r="D125" i="2" s="1"/>
  <c r="D172" i="2" l="1"/>
  <c r="D171" i="2"/>
  <c r="D175" i="2" s="1"/>
  <c r="I148" i="2"/>
  <c r="I151" i="2" l="1"/>
  <c r="I149" i="2"/>
  <c r="I150" i="2" s="1"/>
  <c r="D149" i="2"/>
  <c r="D105" i="2" l="1"/>
  <c r="D108" i="2" s="1"/>
  <c r="D109" i="2" s="1"/>
  <c r="D54" i="2" l="1"/>
  <c r="D186" i="2" l="1"/>
  <c r="D155" i="2" l="1"/>
  <c r="D160" i="2"/>
  <c r="I124" i="2" l="1"/>
  <c r="I152" i="2"/>
  <c r="I140" i="2"/>
  <c r="P124" i="2" s="1"/>
  <c r="N124" i="2"/>
  <c r="D192" i="2"/>
  <c r="D161" i="2" l="1"/>
  <c r="D187" i="2" l="1"/>
  <c r="D179" i="2" l="1"/>
  <c r="D183" i="2" l="1"/>
  <c r="I182" i="2"/>
  <c r="P170" i="2" s="1"/>
  <c r="D193" i="2"/>
  <c r="I95" i="2" l="1"/>
  <c r="I100" i="2" l="1"/>
  <c r="I104" i="2" s="1"/>
  <c r="I111" i="2" s="1"/>
  <c r="I128" i="2" l="1"/>
  <c r="I134" i="2" s="1"/>
  <c r="N126" i="2" s="1"/>
  <c r="I105" i="2"/>
  <c r="I66" i="2"/>
  <c r="I103" i="2"/>
  <c r="I106" i="2"/>
  <c r="I113" i="2" s="1"/>
  <c r="I130" i="2" s="1"/>
  <c r="I136" i="2" s="1"/>
  <c r="I110" i="2" l="1"/>
  <c r="N91" i="2" s="1"/>
  <c r="N92" i="2"/>
  <c r="I107" i="2"/>
  <c r="I112" i="2"/>
  <c r="I68" i="2"/>
  <c r="P89" i="2" l="1"/>
  <c r="I127" i="2"/>
  <c r="P91" i="2"/>
  <c r="I129" i="2"/>
  <c r="I135" i="2" s="1"/>
  <c r="N128" i="2" s="1"/>
  <c r="N93" i="2"/>
  <c r="I67" i="2"/>
  <c r="I65" i="2"/>
  <c r="N89" i="2"/>
  <c r="I133" i="2" l="1"/>
  <c r="N127" i="2" s="1"/>
  <c r="D73" i="2"/>
  <c r="D74" i="2" s="1"/>
  <c r="D79" i="2" s="1"/>
  <c r="N125" i="2" l="1"/>
  <c r="I59" i="2"/>
  <c r="I60" i="2"/>
  <c r="I62" i="2"/>
  <c r="I61" i="2"/>
  <c r="I73" i="2" l="1"/>
  <c r="P68" i="2"/>
  <c r="I74" i="2"/>
  <c r="N67" i="2" s="1"/>
  <c r="P67" i="2"/>
  <c r="I72" i="2"/>
  <c r="N65" i="2" s="1"/>
  <c r="P65" i="2"/>
  <c r="I71" i="2"/>
  <c r="P64" i="2"/>
  <c r="N129" i="2"/>
  <c r="N66" i="2" l="1"/>
  <c r="N68" i="2"/>
  <c r="N64" i="2"/>
  <c r="I171" i="2"/>
  <c r="I177" i="2" s="1"/>
  <c r="I170" i="2"/>
  <c r="I176" i="2" s="1"/>
  <c r="N172" i="2" s="1"/>
  <c r="I169" i="2"/>
  <c r="I175" i="2" s="1"/>
  <c r="I172" i="2"/>
  <c r="I178" i="2" s="1"/>
  <c r="I166" i="2"/>
  <c r="N170" i="2" s="1"/>
  <c r="N175" i="2" l="1"/>
  <c r="N174" i="2"/>
  <c r="N173" i="2"/>
  <c r="N1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84" authorId="0" shapeId="0" xr:uid="{69DF1CF6-580C-4DE8-B782-61765DBB92AE}">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85" authorId="0" shapeId="0" xr:uid="{709CCED9-D0C0-4984-B4B5-FB01F2BDAF74}">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<sst xmlns="http://schemas.openxmlformats.org/spreadsheetml/2006/main" count="821" uniqueCount="598">
  <si>
    <t>NAMN PÅ BRUK:</t>
  </si>
  <si>
    <t>PRODUKTION</t>
  </si>
  <si>
    <t>ELFÖRBRUKNING</t>
  </si>
  <si>
    <t>el ink</t>
  </si>
  <si>
    <t>el inköpt</t>
  </si>
  <si>
    <t>VÄRMEFÖRBRUKNING</t>
  </si>
  <si>
    <t>q turb</t>
  </si>
  <si>
    <t>q dir</t>
  </si>
  <si>
    <t>q elp</t>
  </si>
  <si>
    <t>ånga producerad i elpanna</t>
  </si>
  <si>
    <t>q ink</t>
  </si>
  <si>
    <t>br såld bark</t>
  </si>
  <si>
    <t>el br</t>
  </si>
  <si>
    <t>fossilt drivmedel (interna transporter), t.ex. bensin och diesel</t>
  </si>
  <si>
    <t>biodrivmedel (interna transporter), t.ex. biodiesel och etanol</t>
  </si>
  <si>
    <t>br driv fos</t>
  </si>
  <si>
    <t>br driv bio</t>
  </si>
  <si>
    <t>el gem</t>
  </si>
  <si>
    <t>q gem</t>
  </si>
  <si>
    <t>bränsle som används för att producera direktvärme för torkning av massa, t.ex. direkteldade flingtorkar</t>
  </si>
  <si>
    <t>el använd för värmeproduktion fördelad på torkning av avsalumassa</t>
  </si>
  <si>
    <t>bränsle som används för att producera värme i form av ånga eller hetvatten fördelad på produktionen av pumpmassa</t>
  </si>
  <si>
    <t>bränsle som används för att producera värme i form av ånga eller hetvatten fördelad på torkning av pumpmassa till avsalumassa</t>
  </si>
  <si>
    <t>fossilt bränsle som används för att producera värme i form av ånga eller hetvatten förderlad på produktionen av pumpmassa</t>
  </si>
  <si>
    <t>fossilt bränsle som används för att producera värme i form av ånga eller hetvatten fördelad på torkningen av massan</t>
  </si>
  <si>
    <t>Q tot brutto</t>
  </si>
  <si>
    <t>Q tot netto</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</si>
  <si>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</si>
  <si>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</si>
  <si>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</si>
  <si>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</si>
  <si>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</si>
  <si>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</si>
  <si>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</si>
  <si>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</si>
  <si>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</si>
  <si>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</si>
  <si>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</si>
  <si>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</si>
  <si>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</si>
  <si>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</si>
  <si>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</si>
  <si>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</si>
  <si>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</si>
  <si>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</si>
  <si>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</si>
  <si>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</si>
  <si>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</si>
  <si>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</si>
  <si>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</si>
  <si>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</si>
  <si>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</si>
  <si>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</si>
  <si>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</si>
  <si>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</si>
  <si>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</si>
  <si>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</si>
  <si>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</si>
  <si>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</si>
  <si>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</si>
  <si>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</si>
  <si>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</si>
  <si>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</si>
  <si>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</si>
  <si>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B6</t>
  </si>
  <si>
    <t>B7</t>
  </si>
  <si>
    <t>B9</t>
  </si>
  <si>
    <t>NYCKELTAL</t>
  </si>
  <si>
    <t>B11</t>
  </si>
  <si>
    <t>F3</t>
  </si>
  <si>
    <t>F4</t>
  </si>
  <si>
    <t>F5</t>
  </si>
  <si>
    <t>F6</t>
  </si>
  <si>
    <t>F7</t>
  </si>
  <si>
    <t>F8</t>
  </si>
  <si>
    <t>Fossilt bränsle för produktion av pumpmassa</t>
  </si>
  <si>
    <t>Fossilt bränsle för torkning av avsalumassa</t>
  </si>
  <si>
    <t>F9</t>
  </si>
  <si>
    <t>F10</t>
  </si>
  <si>
    <t>Kommentarer och noteringar</t>
  </si>
  <si>
    <t>q vtn</t>
  </si>
  <si>
    <t>Q12</t>
  </si>
  <si>
    <t>Q13</t>
  </si>
  <si>
    <t>fossil eldningsolja</t>
  </si>
  <si>
    <t>Kontroll (ska vara noll)</t>
  </si>
  <si>
    <t>B12</t>
  </si>
  <si>
    <t>B13</t>
  </si>
  <si>
    <t>B14</t>
  </si>
  <si>
    <t>B15</t>
  </si>
  <si>
    <t>Fossilt bränsle som används för produktion av ånga och varmvatten</t>
  </si>
  <si>
    <t>Bränsle som används för direktvärme</t>
  </si>
  <si>
    <t>fossilt bränsle som används för att producera direktvärme vid torkning av avsalumassa, t.ex. i direkteldade flingtorkar</t>
  </si>
  <si>
    <t>F2</t>
  </si>
  <si>
    <t>fossilt drivmedel och övrigt fossilt bränsle som används i verksamhet som kan hänföras till produktion av pumpmassa, t.ex. truckar på vedgården</t>
  </si>
  <si>
    <t>Bränsle för produktion av pumpmassa</t>
  </si>
  <si>
    <t>Bränsle för torkning av avsalumassa</t>
  </si>
  <si>
    <t>F11</t>
  </si>
  <si>
    <t>F12</t>
  </si>
  <si>
    <t>F13</t>
  </si>
  <si>
    <t>Ekvation</t>
  </si>
  <si>
    <t>F1</t>
  </si>
  <si>
    <t>Ma pump</t>
  </si>
  <si>
    <t>egen produktion av pumpmassa (inkl avsalumassa)</t>
  </si>
  <si>
    <t>M2</t>
  </si>
  <si>
    <t>Ma avsalu</t>
  </si>
  <si>
    <t>Ma ink</t>
  </si>
  <si>
    <t>M3</t>
  </si>
  <si>
    <t>inköpt massa</t>
  </si>
  <si>
    <t>P1</t>
  </si>
  <si>
    <t>Pa tot</t>
  </si>
  <si>
    <t>Slutprod</t>
  </si>
  <si>
    <t>MP1</t>
  </si>
  <si>
    <t>el pa uppm</t>
  </si>
  <si>
    <t>el pa gem</t>
  </si>
  <si>
    <t>el använd för värmeproduktion fördelad på produktion av pumpmassa</t>
  </si>
  <si>
    <t>el pa br</t>
  </si>
  <si>
    <t>el använd för värmeproduktion fördelad på själva pappersproduktionen</t>
  </si>
  <si>
    <t>E13</t>
  </si>
  <si>
    <t>E14</t>
  </si>
  <si>
    <t>E15</t>
  </si>
  <si>
    <t>E16</t>
  </si>
  <si>
    <t>El pa</t>
  </si>
  <si>
    <t>E17</t>
  </si>
  <si>
    <t>E18</t>
  </si>
  <si>
    <t>E19</t>
  </si>
  <si>
    <t>E20</t>
  </si>
  <si>
    <t>E21</t>
  </si>
  <si>
    <t>q pa uppm</t>
  </si>
  <si>
    <t>q pa gem</t>
  </si>
  <si>
    <t>Q14</t>
  </si>
  <si>
    <t>Q pa</t>
  </si>
  <si>
    <t>Förbrukning av värme för produktion av papper från pumpmassa</t>
  </si>
  <si>
    <t>Q15</t>
  </si>
  <si>
    <t>Q16</t>
  </si>
  <si>
    <t>Q17</t>
  </si>
  <si>
    <t>Q18</t>
  </si>
  <si>
    <t>Q19</t>
  </si>
  <si>
    <t>br pa dir</t>
  </si>
  <si>
    <t>br pa övr</t>
  </si>
  <si>
    <t>B3</t>
  </si>
  <si>
    <t>B4</t>
  </si>
  <si>
    <t>bränsle som används för att producera värme i form av ånga eller hetvatten fördelad på själva pappersproduktionen</t>
  </si>
  <si>
    <t>B5</t>
  </si>
  <si>
    <t>B8</t>
  </si>
  <si>
    <t>Br pa</t>
  </si>
  <si>
    <t>Bränsle för själva pappersproduktionen</t>
  </si>
  <si>
    <t>B16</t>
  </si>
  <si>
    <t>B17</t>
  </si>
  <si>
    <t>B18</t>
  </si>
  <si>
    <t>B19</t>
  </si>
  <si>
    <t>fossilt bränsle som används för själva pappersproduktionen</t>
  </si>
  <si>
    <t>fossilt drivmedel och övrigt fossilt bränsle som används i verksamhet som kan hänföras till torkningen av massa och efterföljande steg, t.ex. truckar som hanterar torkad massa</t>
  </si>
  <si>
    <t>fossilt bränsle som används för att producera värme i form av ånga eller hetvatten fördelad på själva pappersproduktionen</t>
  </si>
  <si>
    <t>F14</t>
  </si>
  <si>
    <t>F15</t>
  </si>
  <si>
    <t>Fossilt bränsle för själva pappersproduktionen</t>
  </si>
  <si>
    <t>Br pa fos</t>
  </si>
  <si>
    <t>F16</t>
  </si>
  <si>
    <t>F17</t>
  </si>
  <si>
    <t>F18</t>
  </si>
  <si>
    <t>F19</t>
  </si>
  <si>
    <t>F20</t>
  </si>
  <si>
    <t>Grönt med blå text = Fält för indata</t>
  </si>
  <si>
    <t>E22</t>
  </si>
  <si>
    <t>Självförsörjningsgrad el</t>
  </si>
  <si>
    <t>q gem rest</t>
  </si>
  <si>
    <t>Q20</t>
  </si>
  <si>
    <t>q prim ext</t>
  </si>
  <si>
    <t>br tork dir</t>
  </si>
  <si>
    <t>br pump övr</t>
  </si>
  <si>
    <t>br tork övr</t>
  </si>
  <si>
    <t>drivmedel och annat bränsle som används i verksamhet som kan hänföras till torkning av massa och efterföljande steg, t.ex. truckar för hantering av färdig produkt</t>
  </si>
  <si>
    <t>Kontroll, ska vara 0 (noll)</t>
  </si>
  <si>
    <t>drivmedel och annat bränsle som används i verksamhet som kan hänföras till produktion av pumpmassa, t.ex. truckar på vedgården</t>
  </si>
  <si>
    <t>drivmedel och annat bränsle som används i verksamhet som kan hänföras till själva pappersproduktionen, t.ex. truckar för hantering av färdig produkt</t>
  </si>
  <si>
    <t>Q pump</t>
  </si>
  <si>
    <t>Q tork</t>
  </si>
  <si>
    <t>q pump gem</t>
  </si>
  <si>
    <t>q tork gem</t>
  </si>
  <si>
    <t>B20</t>
  </si>
  <si>
    <t>B21</t>
  </si>
  <si>
    <t>B22</t>
  </si>
  <si>
    <t>B23</t>
  </si>
  <si>
    <t>Br pump</t>
  </si>
  <si>
    <t>Br tork</t>
  </si>
  <si>
    <t>B24</t>
  </si>
  <si>
    <t>B25</t>
  </si>
  <si>
    <t>B26</t>
  </si>
  <si>
    <t>F21</t>
  </si>
  <si>
    <t>el pump uppm</t>
  </si>
  <si>
    <t>el tork uppm</t>
  </si>
  <si>
    <t>Br dir inre</t>
  </si>
  <si>
    <t>Br dir yttre</t>
  </si>
  <si>
    <t>el använd för värmeproduktion fördelad på uppslagning av inköpt massa</t>
  </si>
  <si>
    <t>Förbrukning av värme för uppslagning av inköpt massa</t>
  </si>
  <si>
    <t>ton</t>
  </si>
  <si>
    <t>ADt + ton</t>
  </si>
  <si>
    <t>el uppsl uppm</t>
  </si>
  <si>
    <t>el pump gem</t>
  </si>
  <si>
    <t>el tork gem</t>
  </si>
  <si>
    <t>el uppsl gem</t>
  </si>
  <si>
    <t>q uppsl uppm</t>
  </si>
  <si>
    <t>q pump uppm</t>
  </si>
  <si>
    <t>q tork uppm</t>
  </si>
  <si>
    <t>q uppsl gem</t>
  </si>
  <si>
    <t>BRÄNSLEFÖRBRUKNING TOTALT</t>
  </si>
  <si>
    <t>drivmedel och annat bränsle som används i verksamhet som kan hänföras till uppslagning av inköpt massa</t>
  </si>
  <si>
    <t>Br övr</t>
  </si>
  <si>
    <t>br uppsl övr</t>
  </si>
  <si>
    <t>brutto förbrukning av värme vid massa- och pappersbruket, beräknad från värmeproduktion</t>
  </si>
  <si>
    <t>br tork dir fos</t>
  </si>
  <si>
    <t>br pa dir fos</t>
  </si>
  <si>
    <t>el gem förd pump</t>
  </si>
  <si>
    <t>el gem förd tork</t>
  </si>
  <si>
    <t>el gem förd uppsl</t>
  </si>
  <si>
    <t>q gem förd pump</t>
  </si>
  <si>
    <t>q gem förd tork</t>
  </si>
  <si>
    <t>q gem förd uppsl</t>
  </si>
  <si>
    <t>q gem förd pa</t>
  </si>
  <si>
    <t>el gem förd pa</t>
  </si>
  <si>
    <t>El uppsl</t>
  </si>
  <si>
    <t>El pump</t>
  </si>
  <si>
    <t>El tork</t>
  </si>
  <si>
    <t>bränsle som används för att producera värme i form av ånga eller hetvatten fördelad på uppslagning av inköpt massa</t>
  </si>
  <si>
    <t>Bränsle för uppslagning av inköpt massa</t>
  </si>
  <si>
    <t>fossilt bränsle som används för att producera värme i form av ånga eller hetvatten fördelad på uppslagning av inköpt massa</t>
  </si>
  <si>
    <t>Fossilt bränsle för uppslagning av inköpt massa</t>
  </si>
  <si>
    <t>q gem uppm</t>
  </si>
  <si>
    <t>summa  primärvärmeförbrukning uppmätt specifikt för de olika processavsnitten</t>
  </si>
  <si>
    <t>El tot tillf</t>
  </si>
  <si>
    <t>Total elförbrukning i massa- o pappersbruket beräknad från produktion och handel (tillförselsidan)</t>
  </si>
  <si>
    <t>summa elförbrukning som uppmätts specifikt för de olika processavsnitten</t>
  </si>
  <si>
    <t>el gem uppm</t>
  </si>
  <si>
    <t>uppmätt elförbrukning för gemensamma funktioner, dvs el som används för t.ex. vattenrening, kontor, underhållsverkstad och som inte används i elpannor för värmeproduktion</t>
  </si>
  <si>
    <t>el bal</t>
  </si>
  <si>
    <t>el gem rest</t>
  </si>
  <si>
    <t>resterande gemensam elförbrukning som inte tydligt kan fördelas till specifika processavsnitt</t>
  </si>
  <si>
    <t>el som förbrukas i gemensamma funktioner eller ingår i gemensam balanspost</t>
  </si>
  <si>
    <t>el pump br</t>
  </si>
  <si>
    <t>el tork br</t>
  </si>
  <si>
    <t>el uppsl br</t>
  </si>
  <si>
    <t>E23</t>
  </si>
  <si>
    <t>E24</t>
  </si>
  <si>
    <t>q sek ext</t>
  </si>
  <si>
    <t>q sek→pa</t>
  </si>
  <si>
    <t>q sek→tork</t>
  </si>
  <si>
    <t>q sek→pump</t>
  </si>
  <si>
    <t>q uppsl→sek</t>
  </si>
  <si>
    <t xml:space="preserve">q tork→sek </t>
  </si>
  <si>
    <t>q pump→sek</t>
  </si>
  <si>
    <t>q pa→sek</t>
  </si>
  <si>
    <t>sekundärvärme som används för torkning av avsalumassa</t>
  </si>
  <si>
    <t>sekundärvärme som används för uppslagning av inköpt massa</t>
  </si>
  <si>
    <t>sekundärvärme som används för själva pappersproduktionen </t>
  </si>
  <si>
    <t>värme som förbrukas i gemensamma funktioner eller ingår i gemensamma balansposter</t>
  </si>
  <si>
    <t>q sek→uppsl</t>
  </si>
  <si>
    <t>q prim bal</t>
  </si>
  <si>
    <t>q sek bal</t>
  </si>
  <si>
    <t>Q21</t>
  </si>
  <si>
    <t>η ext</t>
  </si>
  <si>
    <t>Br tot yttre</t>
  </si>
  <si>
    <r>
      <t xml:space="preserve">Summa bränsle direktvärme, yttre systemgräns </t>
    </r>
    <r>
      <rPr>
        <sz val="11"/>
        <color theme="1"/>
        <rFont val="Calibri"/>
        <family val="2"/>
        <scheme val="minor"/>
      </rPr>
      <t>(beräknad från bränsleslag)</t>
    </r>
  </si>
  <si>
    <t>Summa förbrukning av bränslen, inre systemgräns</t>
  </si>
  <si>
    <t>Summa förbrukning av bränslen, yttre systemgräns</t>
  </si>
  <si>
    <t>br eo fos dir</t>
  </si>
  <si>
    <t>br gas fos dir</t>
  </si>
  <si>
    <t>bark eller annat biobränsle som används för värmeproduktion vid bruket (förbränns i pannor eller används för direktvärme)</t>
  </si>
  <si>
    <t>andel av totalt använd bark och annat biobränsle som uppkommit vid bruket</t>
  </si>
  <si>
    <t>såld bark och annat fast biobränsle som uppkommit i vedhantering och renseri</t>
  </si>
  <si>
    <t>Kontroll balans direktvärme (ska vara noll)</t>
  </si>
  <si>
    <t>Br bio inre</t>
  </si>
  <si>
    <t>x bio eget</t>
  </si>
  <si>
    <t>Fossilt bränsle som används för direktvärme</t>
  </si>
  <si>
    <t>br pump övr fos</t>
  </si>
  <si>
    <t>br tork övr fos</t>
  </si>
  <si>
    <t>br pa övr fos</t>
  </si>
  <si>
    <t>fossilt drivmedel och övrigt bränsle som används i verksamhet som kan hänföras till uppslagning av inköpt massa, t ex truckar för mottagning av inköpt massa</t>
  </si>
  <si>
    <t>fossilt drivmedel och övrigt bränsle som används i verksamhet som kan hänföras till själva pappersproduktionen, t ex truckar för utlastning av färdig produkt</t>
  </si>
  <si>
    <t>Br dir fos</t>
  </si>
  <si>
    <t>Summa fossilt bränsle direktvärme (beräknat från bränsleslag)</t>
  </si>
  <si>
    <t>Summa fossilt bränsle direktvärme (beräknat från ändamål)</t>
  </si>
  <si>
    <t>Summa  övrigt fossilt bränsle (beräknat från bränsleslag)</t>
  </si>
  <si>
    <t>Summa  övrigt fossilt bränsle (beräknat från ändamål)</t>
  </si>
  <si>
    <t>Br övr fos</t>
  </si>
  <si>
    <t>Br pump fos</t>
  </si>
  <si>
    <t>Br tork fos</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</si>
  <si>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</si>
  <si>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</si>
  <si>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del av gemensam elförbrukning (inkl gemensam balanspost) som kan fördelas  till uppslagning av massa baserat på rimliga antaganden och uppskattningar</t>
  </si>
  <si>
    <t>del av gemensam elförbrukning (inkl gemensam balanspost) som kan fördelas till pappersproduktionen baserat på rimliga antaganden och uppskattningar</t>
  </si>
  <si>
    <t>Q tot uppm</t>
  </si>
  <si>
    <t>Q22</t>
  </si>
  <si>
    <t>el proc uppm</t>
  </si>
  <si>
    <t>q proc uppm</t>
  </si>
  <si>
    <t>total uppmätt primärvärmeförbrukning</t>
  </si>
  <si>
    <t>uppmätt elförbrukning för produktion av pumpmassa</t>
  </si>
  <si>
    <t>uppmätt elförbrukning för uppslagning av inköpt massa</t>
  </si>
  <si>
    <t>uppmätt elförbrukning för torkning av pumpmassa till avsalumassa och efterföljande hantering</t>
  </si>
  <si>
    <t>uppmätt elförbrukning för själva pappersproduktionen</t>
  </si>
  <si>
    <t>Förbrukning av el för produktion av pumpmassa</t>
  </si>
  <si>
    <t>Förbrukning av el för torkning av avsalumassa</t>
  </si>
  <si>
    <t>Förbrukning av el för uppslagning av inköpt massa</t>
  </si>
  <si>
    <t>Förbrukning av el för produktion av papper från pumpmassa</t>
  </si>
  <si>
    <t>resterande gemensam värmeförbrukning som inte tydligt kan fördelas till produktion av pumpmassa, torkning av massa, uppslagning av inköpt massa eller själva pappersproduktionen</t>
  </si>
  <si>
    <t>Rosa = Celler där data hämtas från annan cell</t>
  </si>
  <si>
    <t>Br panna inre netto</t>
  </si>
  <si>
    <t>br eo fos panna</t>
  </si>
  <si>
    <t>br gas fos panna</t>
  </si>
  <si>
    <t>Br panna inre brutto</t>
  </si>
  <si>
    <t>Br panna yttre netto</t>
  </si>
  <si>
    <t>Br panna yttre, brutto</t>
  </si>
  <si>
    <t>br pump panna</t>
  </si>
  <si>
    <t>br tork panna</t>
  </si>
  <si>
    <t>br uppsl panna</t>
  </si>
  <si>
    <t>br pa panna</t>
  </si>
  <si>
    <t>Summa bränsle för värmeproduktion i pannor, yttre systemgräns, brutto</t>
  </si>
  <si>
    <t>Summa bränsle värmeproduktion i pannor, yttre systemgräns, netto</t>
  </si>
  <si>
    <t>br pump panna fos</t>
  </si>
  <si>
    <t>br tork panna fos</t>
  </si>
  <si>
    <t>br pa panna fos</t>
  </si>
  <si>
    <t>Br panna brutto fos</t>
  </si>
  <si>
    <t>Br panna netto fos</t>
  </si>
  <si>
    <t>Summa bränsle för värmeproduktion i pannor, inre systemgräns, brutto</t>
  </si>
  <si>
    <t>Summa bränsle för värmeproduktion i pannor, inre systemgräns, netto</t>
  </si>
  <si>
    <t>Summa fossilt bränsle för värmeproduktion i pannor, brutto</t>
  </si>
  <si>
    <t>Summa fossilt bränsle  för värmeproduktion i pannor, netto</t>
  </si>
  <si>
    <t>Br uppsl</t>
  </si>
  <si>
    <t>br uppsl övr fos</t>
  </si>
  <si>
    <t>br uppsl panna fos</t>
  </si>
  <si>
    <t>Br uppsl fos</t>
  </si>
  <si>
    <t>Br tot fos</t>
  </si>
  <si>
    <t>Summa fossilt bränsle</t>
  </si>
  <si>
    <t>SKOGENS MEKANISKA MASSA- OCH PAPPERSBRUK</t>
  </si>
  <si>
    <t>hetvatten som produceras i egen panna (t.ex. oljepanna eller elpanna)</t>
  </si>
  <si>
    <t>ånga som produceras i annan panna, ej är ansluten till turbin, eller elpanna</t>
  </si>
  <si>
    <t>egenproducerad värme i pannor</t>
  </si>
  <si>
    <t>q prod raff</t>
  </si>
  <si>
    <t>q prod tot</t>
  </si>
  <si>
    <t>summa egenproducerad värme inkl raffinörer</t>
  </si>
  <si>
    <t>q prod panna</t>
  </si>
  <si>
    <t>ånga eller hetvatten som köps in från extern leverantör</t>
  </si>
  <si>
    <t>Q23</t>
  </si>
  <si>
    <t>Q24</t>
  </si>
  <si>
    <t>bränsle som används för att producera direktvärme för själva pappersproduktionen, t.ex. för torkning av papper eller bestrykning</t>
  </si>
  <si>
    <t>B27</t>
  </si>
  <si>
    <t>br annat bio</t>
  </si>
  <si>
    <t>br annat fos</t>
  </si>
  <si>
    <t>bränsle för andra ändamål, fossilt</t>
  </si>
  <si>
    <t>bränsle för andra ändamål, bio</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</si>
  <si>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</si>
  <si>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</si>
  <si>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</si>
  <si>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</si>
  <si>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Bränsle som används för produktion av ånga och hetvatten i egna pannor</t>
  </si>
  <si>
    <t>br fast bio panna</t>
  </si>
  <si>
    <t>br flyt bio panna</t>
  </si>
  <si>
    <t>inköpta flytande biobränslen</t>
  </si>
  <si>
    <t>br gas bio panna</t>
  </si>
  <si>
    <t>inköpt biogas</t>
  </si>
  <si>
    <t>br bio ink fast</t>
  </si>
  <si>
    <t>inköpt bark, skogsflis och andra fasta biobränslen</t>
  </si>
  <si>
    <t>br fast bio dir</t>
  </si>
  <si>
    <t>br flyt bio dir</t>
  </si>
  <si>
    <t>br gas bio dir</t>
  </si>
  <si>
    <t xml:space="preserve">sekundärvärme som tillvaratas från torkningen av avsalumassa </t>
  </si>
  <si>
    <t xml:space="preserve">sekundärvärme som tillvaratas från uppslagningen av inköpt massa  </t>
  </si>
  <si>
    <t>sekundärvärme som tillvaratas från själva pappersproduktionen</t>
  </si>
  <si>
    <t>sekundärvärme som används för produktion av pumpmassa</t>
  </si>
  <si>
    <t>sekundärvärme från bruket som säljs till extern förbrukare</t>
  </si>
  <si>
    <t>q övrp</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</si>
  <si>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</si>
  <si>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</si>
  <si>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</si>
  <si>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</si>
  <si>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del av gemensam värmeförbrukning (inkl friblåsning och gemensam balanspost)  som kan fördelas till uppslagning av inköpt massa baserat på rimliga antaganden och uppskattningar</t>
  </si>
  <si>
    <t>del av gemensam värmeförbrukning (inkl friblåsning och gemensam balanspost)  som kan fördelas till själva pappersproduktionen baserat på rimliga antaganden och uppskattningar</t>
  </si>
  <si>
    <t>q fribl uppm</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</si>
  <si>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</si>
  <si>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</si>
  <si>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gemensam elförbrukning som fördelats till, eller med utgångspunkt från andel av uppmätt förbrukning hänförts till uppslagning av inköpt massa</t>
  </si>
  <si>
    <t>gemensam elförbrukning som fördelats till, eller med utgångspunkt från andel av uppmätt förbrukning hänförts till själva pappersproduktionen</t>
  </si>
  <si>
    <t>gemensam värmeförbrukning som fördelats till, eller med utgångspunkt från andel av uppmätt förbrukning hänförts till produktion av pumpmassa</t>
  </si>
  <si>
    <t>gemensam värmeförbrukning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</si>
  <si>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uppslagning av inköpt massa</t>
  </si>
  <si>
    <t>gemensam värmeförbrukning som fördelats till, eller med utgångspunkt från andel av uppmätt förbrukning hänförts till själva pappersproduktionen</t>
  </si>
  <si>
    <t>Q25</t>
  </si>
  <si>
    <t>Q26</t>
  </si>
  <si>
    <t>Q27</t>
  </si>
  <si>
    <t>Q28</t>
  </si>
  <si>
    <t>METADATA</t>
  </si>
  <si>
    <t>Område</t>
  </si>
  <si>
    <t>Värde</t>
  </si>
  <si>
    <t>Kommentar</t>
  </si>
  <si>
    <t>Massa</t>
  </si>
  <si>
    <t>Blekning</t>
  </si>
  <si>
    <r>
      <t xml:space="preserve">Ange vilken/vilka typ(er) av blekning som används, och massaproduktion av respektive typ
</t>
    </r>
    <r>
      <rPr>
        <i/>
        <sz val="11"/>
        <color theme="1"/>
        <rFont val="Calibri"/>
        <family val="2"/>
        <scheme val="minor"/>
      </rPr>
      <t>[Infoga rader efter behov (om flera typer av blekning)]</t>
    </r>
  </si>
  <si>
    <t>Produktion av blekkemikalier</t>
  </si>
  <si>
    <t>Ange om använda blekkemikalier är inköpta eller egenproducerade</t>
  </si>
  <si>
    <t>-</t>
  </si>
  <si>
    <t>Papper</t>
  </si>
  <si>
    <t>Typ av papper/kartong</t>
  </si>
  <si>
    <r>
      <t xml:space="preserve">Ange vilken/vilka typ(er) av papper/kartong som produceras, och produktion av respektive typ
</t>
    </r>
    <r>
      <rPr>
        <i/>
        <sz val="11"/>
        <color theme="1"/>
        <rFont val="Calibri"/>
        <family val="2"/>
        <scheme val="minor"/>
      </rPr>
      <t>[Infoga rader efter behov (om flera typer av papper/kartong)]</t>
    </r>
  </si>
  <si>
    <t>Energisystem</t>
  </si>
  <si>
    <t>Turbiner</t>
  </si>
  <si>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</si>
  <si>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</si>
  <si>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</si>
  <si>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</si>
  <si>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</si>
  <si>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</si>
  <si>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Grå = Indata, flerval</t>
  </si>
  <si>
    <t>ORT:</t>
  </si>
  <si>
    <t>SKOGEBORG</t>
  </si>
  <si>
    <t>Q uppsl</t>
  </si>
  <si>
    <t>El tot uppm</t>
  </si>
  <si>
    <t>Total uppmätt förbrukning av el i massa- och pappersbruket</t>
  </si>
  <si>
    <t>Special-produkter</t>
  </si>
  <si>
    <t>Enhet</t>
  </si>
  <si>
    <t>Vedråvara</t>
  </si>
  <si>
    <r>
      <t xml:space="preserve">Ange vilken typ av vedråvara som används
</t>
    </r>
    <r>
      <rPr>
        <i/>
        <sz val="11"/>
        <color theme="1"/>
        <rFont val="Calibri"/>
        <family val="2"/>
        <scheme val="minor"/>
      </rPr>
      <t>[Infoga rader efter behov (om flera typer av vedråvara)]</t>
    </r>
  </si>
  <si>
    <t>[Kommentera ungefärlig andel av respektive typ (om flera används)]</t>
  </si>
  <si>
    <t>Freeness</t>
  </si>
  <si>
    <t>ml CSF</t>
  </si>
  <si>
    <t>[Ange värden för huvudsakliga massatyper, ev intervall]</t>
  </si>
  <si>
    <t>Fyllmedel, bestrykning</t>
  </si>
  <si>
    <t>GJ/ADt</t>
  </si>
  <si>
    <t>MEKANISKT MASSABRUK, INTEGRERAT</t>
  </si>
  <si>
    <r>
      <t xml:space="preserve">Ange massans freeness
</t>
    </r>
    <r>
      <rPr>
        <i/>
        <sz val="11"/>
        <color theme="1"/>
        <rFont val="Calibri"/>
        <family val="2"/>
        <scheme val="minor"/>
      </rPr>
      <t>[Infoga rader efter behov (om flera typer av vedråvara)]</t>
    </r>
  </si>
  <si>
    <r>
      <t xml:space="preserve">Ange om fyllmedel eller bestrykningsmedel används (ökar pappersproduktionens vikt)
</t>
    </r>
    <r>
      <rPr>
        <i/>
        <sz val="11"/>
        <color theme="1"/>
        <rFont val="Calibri"/>
        <family val="2"/>
        <scheme val="minor"/>
      </rPr>
      <t>[Infoga rader efter behov]</t>
    </r>
  </si>
  <si>
    <r>
      <t xml:space="preserve">balanspost för </t>
    </r>
    <r>
      <rPr>
        <sz val="11"/>
        <color theme="1"/>
        <rFont val="Calibri"/>
        <family val="2"/>
        <scheme val="minor"/>
      </rPr>
      <t>el, avvikelse mellan tillförsel och uppmätt användning (inkluderar t.ex. förluster, ouppmätt förbrukning, mätfel osv)</t>
    </r>
  </si>
  <si>
    <t>GJ/ADt+ton</t>
  </si>
  <si>
    <t>GJ/ton</t>
  </si>
  <si>
    <r>
      <t>balanspost för primärvär</t>
    </r>
    <r>
      <rPr>
        <sz val="11"/>
        <color theme="1"/>
        <rFont val="Calibri"/>
        <family val="2"/>
        <scheme val="minor"/>
      </rPr>
      <t>me, avvikelse mellan produktion och uppmätt förbrukning (inkluderar förluster, ouppmätt förbrukning, mätfel osv)</t>
    </r>
  </si>
  <si>
    <r>
      <t>balanspost för sekundärvär</t>
    </r>
    <r>
      <rPr>
        <sz val="11"/>
        <color theme="1"/>
        <rFont val="Calibri"/>
        <family val="2"/>
        <scheme val="minor"/>
      </rPr>
      <t>me, avvikelse mellan summan av värmekällor och värmesänkor (hänförs till gemensamma funktioner)</t>
    </r>
  </si>
  <si>
    <t>egengenererat biobränsle (t.ex. bark) som uppkommit utanför ”inre systemgräns” på bruket (dvs i vedhantering/renseri)</t>
  </si>
  <si>
    <t>br bio eget fast</t>
  </si>
  <si>
    <t>övriga fossila bränslen, t.ex. gasol och naturgas</t>
  </si>
  <si>
    <r>
      <t xml:space="preserve">Ange typ av turbin (kondens/mottryck) och antal
</t>
    </r>
    <r>
      <rPr>
        <i/>
        <sz val="11"/>
        <color theme="1"/>
        <rFont val="Calibri"/>
        <family val="2"/>
        <scheme val="minor"/>
      </rPr>
      <t>[Infoga rader efter behov (om flera typer av turbiner)]</t>
    </r>
  </si>
  <si>
    <t>Fasta biobränslen - övergripande balans</t>
  </si>
  <si>
    <t>såld massa (avsalumassa)</t>
  </si>
  <si>
    <t>raffinörsånga som säljs till extern förbrukare eller dumpas</t>
  </si>
  <si>
    <t>Kontroll balans fast biobränsle (ska vara noll)</t>
  </si>
  <si>
    <t>el producerad som mottryckskraft i turbin vid bruket</t>
  </si>
  <si>
    <t>el prod kond</t>
  </si>
  <si>
    <t>el producerad som kondenskraft i turbin vid bruket</t>
  </si>
  <si>
    <t>q prim kond</t>
  </si>
  <si>
    <t>ånga som används för produktion av kondensel</t>
  </si>
  <si>
    <t>br ext prim värme</t>
  </si>
  <si>
    <t>bränsle som använts för att producera primärvärme som levereras externt (t.ex. till fjärrvärme)</t>
  </si>
  <si>
    <t>η kond</t>
  </si>
  <si>
    <t>bränsle som använts för att producera kondensel</t>
  </si>
  <si>
    <t>B28</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</si>
  <si>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</si>
  <si>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</si>
  <si>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</si>
  <si>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</si>
  <si>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F22</t>
  </si>
  <si>
    <t>se PM avsnitt 2.4. 'Värme' för ytterligare instruktioner om hur producerad och förbrukad ånga ska anges</t>
  </si>
  <si>
    <t>egengenererad och inköpt bark och annat fast biobränsle</t>
  </si>
  <si>
    <t>Barr - rundved</t>
  </si>
  <si>
    <t>Löv - rundved</t>
  </si>
  <si>
    <t>Väteperoxid</t>
  </si>
  <si>
    <t>Inköpta</t>
  </si>
  <si>
    <t>Tryckpapper</t>
  </si>
  <si>
    <t>Tidningspapper</t>
  </si>
  <si>
    <t>Fyllmedel</t>
  </si>
  <si>
    <t>Bestrykning</t>
  </si>
  <si>
    <t>Mottryck</t>
  </si>
  <si>
    <t>Biogas</t>
  </si>
  <si>
    <t>Mek massa</t>
  </si>
  <si>
    <t>Massatyp</t>
  </si>
  <si>
    <t>TMP</t>
  </si>
  <si>
    <t>Br tot inre netto alt</t>
  </si>
  <si>
    <t>Br pump alt</t>
  </si>
  <si>
    <t>Br tork alt</t>
  </si>
  <si>
    <t>Br uppsl alt</t>
  </si>
  <si>
    <t>Br pa alt</t>
  </si>
  <si>
    <t>B10</t>
  </si>
  <si>
    <t>B29</t>
  </si>
  <si>
    <t>B30</t>
  </si>
  <si>
    <t>B31</t>
  </si>
  <si>
    <t>B32</t>
  </si>
  <si>
    <t>B33</t>
  </si>
  <si>
    <t>B34</t>
  </si>
  <si>
    <t>B35</t>
  </si>
  <si>
    <t>B36</t>
  </si>
  <si>
    <t>B37</t>
  </si>
  <si>
    <t>B38</t>
  </si>
  <si>
    <t>primärvärme som levereras till extern förbrukare</t>
  </si>
  <si>
    <t>verkningsgrad för barkpanna eller annan energipanna som producerar ånga för kondenselproduktion.</t>
  </si>
  <si>
    <t>B39</t>
  </si>
  <si>
    <t>B40</t>
  </si>
  <si>
    <t>Br tot fos alt</t>
  </si>
  <si>
    <t>Br pump fos alt</t>
  </si>
  <si>
    <t>Br tork fos alt</t>
  </si>
  <si>
    <t>Br uppsl fos alt</t>
  </si>
  <si>
    <t>Br pa fos alt</t>
  </si>
  <si>
    <t>F23</t>
  </si>
  <si>
    <t>F24</t>
  </si>
  <si>
    <t>F25</t>
  </si>
  <si>
    <t>F26</t>
  </si>
  <si>
    <t>F27</t>
  </si>
  <si>
    <t>F28</t>
  </si>
  <si>
    <t>F29</t>
  </si>
  <si>
    <t>Q29</t>
  </si>
  <si>
    <t>E25</t>
  </si>
  <si>
    <t>%</t>
  </si>
  <si>
    <t>Elfförbrukning</t>
  </si>
  <si>
    <t>Värmeförbrukning</t>
  </si>
  <si>
    <t>Bränsleförbrukning</t>
  </si>
  <si>
    <t>Fossil bränsleförbrukning</t>
  </si>
  <si>
    <t>E26</t>
  </si>
  <si>
    <t>E27</t>
  </si>
  <si>
    <t>E28</t>
  </si>
  <si>
    <t>E29</t>
  </si>
  <si>
    <t>E30</t>
  </si>
  <si>
    <t>E31</t>
  </si>
  <si>
    <t>E32</t>
  </si>
  <si>
    <t xml:space="preserve"> - totalt för bruket per producerad mängd slutprodukt</t>
  </si>
  <si>
    <t xml:space="preserve"> - per producerad mängd pumpmassa</t>
  </si>
  <si>
    <t xml:space="preserve"> - för torkning, per producerad mängd avsalumassa</t>
  </si>
  <si>
    <t xml:space="preserve"> - per producerad mängd torkad avsalumassa</t>
  </si>
  <si>
    <t xml:space="preserve"> - per producerad mängd papper från pumpmassa</t>
  </si>
  <si>
    <t xml:space="preserve"> - per producerad mängd papper från inköpt massa</t>
  </si>
  <si>
    <t xml:space="preserve"> - för torkning per producerad mängd avsalumassa</t>
  </si>
  <si>
    <t xml:space="preserve"> - totalt per producerad mängd slutprodukt</t>
  </si>
  <si>
    <t xml:space="preserve"> - per producerad mängd slutprodukt</t>
  </si>
  <si>
    <t xml:space="preserve"> - per producerad mängd avsalumassa</t>
  </si>
  <si>
    <t>Sålda energiprodukter, inre systemgräns</t>
  </si>
  <si>
    <t>sålda energiprodukter (t.ex. biogas), exkl bark och annat biobränsle som uppkommer i vedhantering/renseri</t>
  </si>
  <si>
    <t>alt 0</t>
  </si>
  <si>
    <t>alt 1</t>
  </si>
  <si>
    <t xml:space="preserve"> -producerad raffinörsånga per producerad mängd pumpmassa</t>
  </si>
  <si>
    <t>Värmeåtervinning från raffinörer</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</si>
  <si>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</si>
  <si>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</si>
  <si>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</si>
  <si>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</si>
  <si>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el prod mot</t>
  </si>
  <si>
    <t>netto förbrukning av värme vid massa- och pappersbruket, beräknad från värmeproduktion</t>
  </si>
  <si>
    <t>uppmätt förbrukning av primärvärme (inkl. raffinörsånga) för produktion av pumpmassa</t>
  </si>
  <si>
    <t>uppmätt förbrukning av primärvärme (inkl. raffinörsånga) för torkning av avsalumassa</t>
  </si>
  <si>
    <t>uppmätt förbrukning av primärvärme (inkl. raffinörsånga) för uppslagning av inköpt massa</t>
  </si>
  <si>
    <t>uppmätt förbrukning av primärvärme (inkl. raffinörsånga) för själva pappersproduktionen</t>
  </si>
  <si>
    <t>bark, spån och annat fast biobränsle</t>
  </si>
  <si>
    <t>Summa bränsle direktvärme, inre systemgräns (beräknad från bränsleslag)</t>
  </si>
  <si>
    <t>Summa bränsle direktvärme, inre systemgräns (beräknad från ändamål)</t>
  </si>
  <si>
    <t>Summa drivmedel och övrigt bränsle (beräknad från bränsleslag)</t>
  </si>
  <si>
    <t>Summa drivmedel och övrigt bränsle (beräknad från ändamål)</t>
  </si>
  <si>
    <t>η fos ext</t>
  </si>
  <si>
    <t>202X-XX-XX</t>
  </si>
  <si>
    <t>202X</t>
  </si>
  <si>
    <t>ånga som tillförs processen efter passage av mottrycksproduktion, dvs ånga ut från turbiner anslutna till fastbränslepanna eller annan panna</t>
  </si>
  <si>
    <t>direktreducerad ånga som tillförs processen från fastbränslepanna eller annan panna utan att passera mottrycksturbin</t>
  </si>
  <si>
    <t>F30</t>
  </si>
  <si>
    <t>F31</t>
  </si>
  <si>
    <t>F32</t>
  </si>
  <si>
    <t>F33</t>
  </si>
  <si>
    <t>F34</t>
  </si>
  <si>
    <t>Ange vilken typ av mekanisk massa som produceras</t>
  </si>
  <si>
    <t>br sålt inre</t>
  </si>
  <si>
    <t>br kondensel</t>
  </si>
  <si>
    <t>br kondensel fos</t>
  </si>
  <si>
    <t>el såld</t>
  </si>
  <si>
    <t>el såld till elnätet</t>
  </si>
  <si>
    <t>Alternativ 1: exkl bränsle till pannor, inre systemgräns</t>
  </si>
  <si>
    <t>Alternativ 1: enbart bränsle för annat ändamål än värmeproduktion i pannor, inre systemgräns</t>
  </si>
  <si>
    <t>Alternativ 2: all användning av bränsle (inkl pannor), men yttre systemgräns (används ej för nyckeltal)</t>
  </si>
  <si>
    <t>Alternativ 0: all bränsleförbrukning, inkl  bränsle till pannor, inre systemgräns</t>
  </si>
  <si>
    <t>Alternativ 0: all elanvändning, inkl el till elpannor</t>
  </si>
  <si>
    <t>Alternativ 1: exkl el som används i elpanna för värmeproduktion</t>
  </si>
  <si>
    <t>Alternativ 0: all fossil bränsleförbrukning, inkl  bränsle till pannor</t>
  </si>
  <si>
    <t>Alternativ 1: exkl bränsle till pannor</t>
  </si>
  <si>
    <t>Alternativ 1: enbart bränsle för annat ändamål än värmeproduktion i pannor</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</si>
  <si>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</si>
  <si>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el ext</t>
  </si>
  <si>
    <t>el som används i egna processer utanför systemgränsen för konventionell massa-/pappersproduktion (t.ex. för papperskonvertering)</t>
  </si>
  <si>
    <t>q raff såld</t>
  </si>
  <si>
    <t>q prim såld</t>
  </si>
  <si>
    <t>primärvärme som används i egna processer utanför systemgränsen för konventionell massa-/pappersproduktion (t.ex. för papperskonvertering)</t>
  </si>
  <si>
    <t>q sek såld</t>
  </si>
  <si>
    <t>sekundärvärme som används i egna processer utanför systemgränsen för konventionell massa-/pappersproduktion (t.ex. för papperskonvertering)</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</si>
  <si>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</si>
  <si>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 såld prim värme</t>
  </si>
  <si>
    <t>bränsle som använts för att producera primärvärme som används vid bruket, men utanför systemgränsen för massa- och pappersproduktionen</t>
  </si>
  <si>
    <t>B41</t>
  </si>
  <si>
    <t>br såld prim värme fos</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</si>
  <si>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</si>
  <si>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</si>
  <si>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F35</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</si>
  <si>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</si>
  <si>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produktion av papper och kartong (säljbar produkt, före ev konvertering)</t>
  </si>
  <si>
    <t xml:space="preserve">summa slutprodukter massa och papper </t>
  </si>
  <si>
    <t>sekundärvärme som tillvaratas från produktionen av pumpmassa, exkl raffinörsånga</t>
  </si>
  <si>
    <t xml:space="preserve"> Alternativ 0: värmeförbrukning inklusive raffinörsånga</t>
  </si>
  <si>
    <t xml:space="preserve"> Alternativ 1: exklusive raffinörsånga</t>
  </si>
  <si>
    <t xml:space="preserve"> -andel av brukets totala nettoförbrukning av värme som täcks av raffinörsånga </t>
  </si>
  <si>
    <t>ånga som produceras i ångomformare för ångåtervinning från raffinörer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</si>
</sst>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
  </numFmts>
  <fonts count="33" x14ac:knownFonts="1">
    <font>
      <sz val="11"/>
      <color theme="1"/>
      <name val="Calibri"/>
      <family val="2"/>
      <scheme val="minor"/>
    </font>
    <font>
      <b/>
      <sz val="11"/>
      <color theme="1"/>
      <name val="Calibri"/>
      <family val="2"/>
      <scheme val="minor"/>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sz val="11"/>
      <color theme="1"/>
      <name val="Calibri"/>
      <family val="2"/>
      <scheme val="minor"/>
    </font>
    <font>
      <b/>
      <sz val="11"/>
      <name val="Calibri"/>
      <family val="2"/>
      <scheme val="minor"/>
    </font>
    <font>
      <sz val="12"/>
      <color theme="1"/>
      <name val="Times New Roman"/>
      <family val="1"/>
    </font>
    <font>
      <b/>
      <i/>
      <sz val="11"/>
      <name val="Calibri"/>
      <family val="2"/>
      <scheme val="minor"/>
    </font>
    <font>
      <sz val="11"/>
      <color rgb="FF4B876C"/>
      <name val="Calibri"/>
      <family val="2"/>
      <scheme val="minor"/>
    </font>
    <font>
      <i/>
      <sz val="11"/>
      <color rgb="FFFF0000"/>
      <name val="Calibri"/>
      <family val="2"/>
      <scheme val="minor"/>
    </font>
    <font>
      <b/>
      <sz val="16"/>
      <color rgb="FFFF0000"/>
      <name val="Calibri"/>
      <family val="2"/>
      <scheme val="minor"/>
    </font>
    <font>
      <b/>
      <i/>
      <sz val="18"/>
      <color theme="1"/>
      <name val="Franklin Gothic Book"/>
      <family val="2"/>
    </font>
    <font>
      <b/>
      <sz val="16"/>
      <color rgb="FF0070C0"/>
      <name val="Calibri"/>
      <family val="2"/>
      <scheme val="minor"/>
    </font>
    <font>
      <i/>
      <sz val="11"/>
      <name val="Calibri"/>
      <family val="2"/>
      <scheme val="minor"/>
    </font>
    <font>
      <b/>
      <sz val="12"/>
      <name val="Calibri"/>
      <family val="2"/>
      <scheme val="minor"/>
    </font>
    <font>
      <b/>
      <i/>
      <sz val="12"/>
      <name val="Calibri"/>
      <family val="2"/>
      <scheme val="minor"/>
    </font>
    <font>
      <b/>
      <sz val="16"/>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289">
    <xf numFmtId="0" fontId="0" fillId="0" borderId="0" xfId="0"/>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7" fillId="0" borderId="0" xfId="0" applyFont="1"/>
    <xf numFmtId="0" fontId="17" fillId="0" borderId="1" xfId="0" applyFont="1" applyBorder="1"/>
    <xf numFmtId="0" fontId="0" fillId="5" borderId="0" xfId="0" applyFill="1" applyAlignment="1">
      <alignment wrapText="1"/>
    </xf>
    <xf numFmtId="0" fontId="1" fillId="5" borderId="0" xfId="0" applyFont="1" applyFill="1" applyAlignment="1">
      <alignment wrapText="1"/>
    </xf>
    <xf numFmtId="0" fontId="4" fillId="0" borderId="1" xfId="0" applyFont="1" applyBorder="1" applyAlignment="1">
      <alignment wrapText="1"/>
    </xf>
    <xf numFmtId="0" fontId="3" fillId="0" borderId="0" xfId="0" applyFont="1" applyAlignment="1">
      <alignment wrapText="1"/>
    </xf>
    <xf numFmtId="3" fontId="9" fillId="5" borderId="0" xfId="0" applyNumberFormat="1" applyFont="1" applyFill="1" applyAlignment="1">
      <alignment wrapText="1"/>
    </xf>
    <xf numFmtId="0" fontId="3" fillId="5" borderId="0" xfId="0" applyFont="1" applyFill="1" applyAlignment="1">
      <alignment wrapText="1"/>
    </xf>
    <xf numFmtId="3" fontId="9" fillId="0" borderId="0" xfId="0" applyNumberFormat="1" applyFont="1" applyAlignment="1">
      <alignment wrapText="1"/>
    </xf>
    <xf numFmtId="0" fontId="6" fillId="0" borderId="0" xfId="0" applyFont="1" applyAlignment="1">
      <alignment wrapText="1"/>
    </xf>
    <xf numFmtId="0" fontId="16" fillId="0" borderId="0" xfId="0" applyFont="1" applyAlignment="1">
      <alignment wrapText="1"/>
    </xf>
    <xf numFmtId="3" fontId="0" fillId="0" borderId="0" xfId="0" applyNumberFormat="1" applyAlignment="1">
      <alignment wrapText="1"/>
    </xf>
    <xf numFmtId="0" fontId="16" fillId="5" borderId="0" xfId="0" applyFont="1" applyFill="1" applyAlignment="1">
      <alignment wrapText="1"/>
    </xf>
    <xf numFmtId="3" fontId="0" fillId="5" borderId="0" xfId="0" applyNumberFormat="1" applyFill="1" applyAlignment="1">
      <alignment wrapText="1"/>
    </xf>
    <xf numFmtId="0" fontId="2" fillId="0" borderId="0" xfId="0" applyFont="1" applyAlignment="1">
      <alignment wrapText="1"/>
    </xf>
    <xf numFmtId="0" fontId="0" fillId="0" borderId="9" xfId="0" applyBorder="1" applyAlignment="1">
      <alignment wrapText="1"/>
    </xf>
    <xf numFmtId="0" fontId="0" fillId="0" borderId="13" xfId="0" applyBorder="1" applyAlignment="1">
      <alignment wrapText="1"/>
    </xf>
    <xf numFmtId="0" fontId="7" fillId="0" borderId="0" xfId="0" applyFont="1" applyAlignment="1">
      <alignment wrapText="1"/>
    </xf>
    <xf numFmtId="0" fontId="1" fillId="0" borderId="9" xfId="0" applyFont="1" applyBorder="1" applyAlignment="1">
      <alignment wrapText="1"/>
    </xf>
    <xf numFmtId="0" fontId="1" fillId="0" borderId="10"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17" xfId="0" applyFont="1" applyBorder="1" applyAlignment="1">
      <alignment wrapText="1"/>
    </xf>
    <xf numFmtId="0" fontId="1" fillId="0" borderId="18" xfId="0" applyFont="1" applyBorder="1" applyAlignment="1">
      <alignment wrapText="1"/>
    </xf>
    <xf numFmtId="0" fontId="18" fillId="0" borderId="9"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7"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0" fontId="8" fillId="0" borderId="0" xfId="0" applyFont="1" applyAlignment="1">
      <alignment horizontal="left" wrapText="1"/>
    </xf>
    <xf numFmtId="0" fontId="5" fillId="0" borderId="0" xfId="0" applyFont="1" applyAlignment="1">
      <alignment horizontal="center" wrapText="1"/>
    </xf>
    <xf numFmtId="0" fontId="0" fillId="0" borderId="18" xfId="0" applyBorder="1" applyAlignment="1">
      <alignment horizontal="right" wrapText="1"/>
    </xf>
    <xf numFmtId="0" fontId="19" fillId="0" borderId="0" xfId="0" applyFont="1" applyAlignment="1">
      <alignment wrapText="1"/>
    </xf>
    <xf numFmtId="0" fontId="19" fillId="0" borderId="1" xfId="0" applyFont="1" applyBorder="1" applyAlignment="1">
      <alignment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0" fillId="2" borderId="1" xfId="0" applyFill="1" applyBorder="1" applyAlignment="1">
      <alignment horizontal="right" wrapText="1"/>
    </xf>
    <xf numFmtId="0" fontId="0" fillId="5" borderId="0" xfId="0" applyFill="1" applyAlignment="1">
      <alignment horizontal="center" wrapText="1"/>
    </xf>
    <xf numFmtId="3" fontId="7" fillId="0" borderId="0" xfId="0" applyNumberFormat="1" applyFont="1" applyAlignment="1">
      <alignment wrapText="1"/>
    </xf>
    <xf numFmtId="0" fontId="1" fillId="0" borderId="0" xfId="0" applyFont="1" applyAlignment="1">
      <alignment horizontal="left"/>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1" xfId="0" applyBorder="1" applyAlignment="1">
      <alignment horizontal="center" wrapText="1"/>
    </xf>
    <xf numFmtId="2" fontId="0" fillId="4" borderId="12" xfId="0" applyNumberFormat="1" applyFill="1" applyBorder="1" applyAlignment="1">
      <alignment wrapText="1"/>
    </xf>
    <xf numFmtId="0" fontId="0" fillId="0" borderId="13" xfId="0" applyBorder="1" applyAlignment="1">
      <alignment horizontal="center" wrapText="1"/>
    </xf>
    <xf numFmtId="164" fontId="0" fillId="4" borderId="14" xfId="0" applyNumberFormat="1" applyFill="1" applyBorder="1" applyAlignment="1">
      <alignment wrapText="1"/>
    </xf>
    <xf numFmtId="164" fontId="0" fillId="4" borderId="12" xfId="0" applyNumberFormat="1" applyFill="1" applyBorder="1" applyAlignment="1">
      <alignment horizontal="right" wrapText="1"/>
    </xf>
    <xf numFmtId="0" fontId="1" fillId="0" borderId="17" xfId="0" applyFont="1" applyBorder="1" applyAlignment="1">
      <alignment horizontal="center" wrapText="1"/>
    </xf>
    <xf numFmtId="1" fontId="0" fillId="4" borderId="12" xfId="0" applyNumberFormat="1" applyFill="1" applyBorder="1" applyAlignment="1">
      <alignment horizontal="right" wrapText="1"/>
    </xf>
    <xf numFmtId="1" fontId="0" fillId="4" borderId="12" xfId="0" applyNumberFormat="1" applyFill="1" applyBorder="1" applyAlignment="1">
      <alignment wrapText="1"/>
    </xf>
    <xf numFmtId="1" fontId="0" fillId="4" borderId="14" xfId="0" applyNumberFormat="1" applyFill="1" applyBorder="1" applyAlignment="1">
      <alignment wrapText="1"/>
    </xf>
    <xf numFmtId="0" fontId="1" fillId="0" borderId="8" xfId="0" applyFont="1" applyBorder="1" applyAlignment="1">
      <alignment horizontal="center" wrapText="1"/>
    </xf>
    <xf numFmtId="3" fontId="9" fillId="3" borderId="12" xfId="0" applyNumberFormat="1" applyFont="1" applyFill="1" applyBorder="1" applyAlignment="1">
      <alignment horizontal="left" wrapText="1"/>
    </xf>
    <xf numFmtId="3" fontId="7" fillId="4" borderId="14" xfId="0" applyNumberFormat="1" applyFont="1" applyFill="1" applyBorder="1" applyAlignment="1">
      <alignment horizontal="right" wrapText="1"/>
    </xf>
    <xf numFmtId="1" fontId="0" fillId="4" borderId="10" xfId="0" applyNumberFormat="1" applyFill="1" applyBorder="1" applyAlignment="1">
      <alignment horizontal="right" wrapText="1"/>
    </xf>
    <xf numFmtId="164" fontId="0" fillId="4" borderId="12" xfId="0" applyNumberFormat="1" applyFill="1" applyBorder="1" applyAlignment="1">
      <alignment wrapText="1"/>
    </xf>
    <xf numFmtId="3" fontId="7" fillId="2" borderId="14" xfId="0" applyNumberFormat="1" applyFont="1" applyFill="1" applyBorder="1" applyAlignment="1">
      <alignment horizontal="right" wrapText="1"/>
    </xf>
    <xf numFmtId="0" fontId="1" fillId="0" borderId="15" xfId="0" applyFont="1" applyBorder="1" applyAlignment="1">
      <alignment horizontal="center" wrapText="1"/>
    </xf>
    <xf numFmtId="3" fontId="0" fillId="4" borderId="12" xfId="0" applyNumberFormat="1" applyFill="1" applyBorder="1" applyAlignment="1">
      <alignment horizontal="right" wrapText="1"/>
    </xf>
    <xf numFmtId="3" fontId="0" fillId="4" borderId="12" xfId="0" applyNumberFormat="1" applyFill="1" applyBorder="1" applyAlignment="1">
      <alignment wrapText="1"/>
    </xf>
    <xf numFmtId="3" fontId="0" fillId="4" borderId="14" xfId="0" applyNumberFormat="1" applyFill="1" applyBorder="1" applyAlignment="1">
      <alignment wrapText="1"/>
    </xf>
    <xf numFmtId="3" fontId="0" fillId="4" borderId="10" xfId="0" applyNumberFormat="1" applyFill="1" applyBorder="1" applyAlignment="1">
      <alignment horizontal="right" wrapText="1"/>
    </xf>
    <xf numFmtId="164" fontId="0" fillId="4" borderId="14" xfId="0" applyNumberFormat="1" applyFill="1" applyBorder="1" applyAlignment="1">
      <alignment horizontal="right" wrapText="1"/>
    </xf>
    <xf numFmtId="3" fontId="21" fillId="0" borderId="12" xfId="0" applyNumberFormat="1" applyFont="1" applyBorder="1" applyAlignment="1">
      <alignment horizontal="center" wrapText="1"/>
    </xf>
    <xf numFmtId="3" fontId="21" fillId="0" borderId="12" xfId="0" applyNumberFormat="1" applyFont="1" applyBorder="1" applyAlignment="1">
      <alignment horizontal="left" wrapText="1"/>
    </xf>
    <xf numFmtId="0" fontId="7" fillId="0" borderId="0" xfId="0" applyFont="1" applyAlignment="1">
      <alignment horizontal="left" wrapText="1"/>
    </xf>
    <xf numFmtId="0" fontId="0" fillId="0" borderId="1" xfId="0" applyBorder="1" applyAlignment="1">
      <alignment horizontal="left" wrapText="1"/>
    </xf>
    <xf numFmtId="0" fontId="7" fillId="0" borderId="9" xfId="0" applyFont="1" applyBorder="1" applyAlignment="1">
      <alignment horizontal="right" wrapText="1"/>
    </xf>
    <xf numFmtId="0" fontId="22" fillId="0" borderId="0" xfId="0" applyFont="1" applyAlignment="1">
      <alignment horizontal="left" vertical="center" indent="12"/>
    </xf>
    <xf numFmtId="0" fontId="7" fillId="0" borderId="0" xfId="0" applyFont="1" applyAlignment="1">
      <alignment horizontal="right" wrapText="1"/>
    </xf>
    <xf numFmtId="4" fontId="7" fillId="4" borderId="12" xfId="0" applyNumberFormat="1" applyFont="1" applyFill="1" applyBorder="1" applyAlignment="1">
      <alignment horizontal="right" wrapText="1"/>
    </xf>
    <xf numFmtId="3" fontId="7" fillId="4" borderId="12" xfId="0" applyNumberFormat="1" applyFont="1" applyFill="1" applyBorder="1" applyAlignment="1">
      <alignment horizontal="right" wrapText="1"/>
    </xf>
    <xf numFmtId="3" fontId="7" fillId="4" borderId="12" xfId="0" applyNumberFormat="1" applyFont="1" applyFill="1" applyBorder="1" applyAlignment="1">
      <alignment wrapText="1"/>
    </xf>
    <xf numFmtId="0" fontId="11" fillId="0" borderId="20" xfId="0" applyFont="1" applyBorder="1"/>
    <xf numFmtId="0" fontId="1" fillId="0" borderId="21" xfId="0" applyFont="1" applyBorder="1" applyAlignment="1">
      <alignment wrapText="1"/>
    </xf>
    <xf numFmtId="0" fontId="23" fillId="0" borderId="9" xfId="0" applyFont="1" applyBorder="1" applyAlignment="1">
      <alignment wrapText="1"/>
    </xf>
    <xf numFmtId="0" fontId="23" fillId="0" borderId="9" xfId="0" applyFont="1" applyBorder="1" applyAlignment="1">
      <alignment horizontal="left" wrapText="1"/>
    </xf>
    <xf numFmtId="0" fontId="1" fillId="0" borderId="0" xfId="0" applyFont="1"/>
    <xf numFmtId="0" fontId="24" fillId="0" borderId="0" xfId="0" applyFont="1" applyAlignment="1">
      <alignment wrapText="1"/>
    </xf>
    <xf numFmtId="0" fontId="1" fillId="0" borderId="18" xfId="0" applyFont="1" applyBorder="1" applyAlignment="1">
      <alignment horizontal="center" wrapText="1"/>
    </xf>
    <xf numFmtId="3" fontId="9" fillId="0" borderId="22" xfId="0" applyNumberFormat="1" applyFont="1" applyBorder="1" applyAlignment="1">
      <alignment horizontal="left" wrapText="1"/>
    </xf>
    <xf numFmtId="0" fontId="0" fillId="0" borderId="23" xfId="0" applyBorder="1" applyAlignment="1">
      <alignment wrapText="1"/>
    </xf>
    <xf numFmtId="3" fontId="9" fillId="0" borderId="24" xfId="0" applyNumberFormat="1" applyFont="1" applyBorder="1" applyAlignment="1">
      <alignment horizontal="left" wrapText="1"/>
    </xf>
    <xf numFmtId="0" fontId="0" fillId="0" borderId="12" xfId="0" applyBorder="1" applyAlignment="1">
      <alignment wrapText="1"/>
    </xf>
    <xf numFmtId="0" fontId="1" fillId="9" borderId="24" xfId="2" applyFont="1" applyBorder="1"/>
    <xf numFmtId="0" fontId="1" fillId="0" borderId="24" xfId="0" applyFont="1" applyBorder="1"/>
    <xf numFmtId="0" fontId="1" fillId="0" borderId="0" xfId="0" quotePrefix="1" applyFont="1"/>
    <xf numFmtId="0" fontId="1" fillId="0" borderId="23" xfId="0" applyFont="1" applyBorder="1"/>
    <xf numFmtId="0" fontId="0" fillId="0" borderId="23" xfId="0" quotePrefix="1" applyBorder="1" applyAlignment="1">
      <alignment wrapText="1"/>
    </xf>
    <xf numFmtId="0" fontId="2" fillId="0" borderId="12" xfId="0" applyFont="1" applyBorder="1"/>
    <xf numFmtId="0" fontId="0" fillId="0" borderId="12" xfId="0" applyBorder="1"/>
    <xf numFmtId="0" fontId="1" fillId="0" borderId="25" xfId="2" applyFont="1" applyFill="1" applyBorder="1"/>
    <xf numFmtId="3" fontId="9" fillId="0" borderId="25" xfId="0" applyNumberFormat="1" applyFont="1" applyBorder="1" applyAlignment="1">
      <alignment horizontal="left" wrapText="1"/>
    </xf>
    <xf numFmtId="0" fontId="1" fillId="0" borderId="0" xfId="2" applyFont="1" applyFill="1" applyBorder="1"/>
    <xf numFmtId="0" fontId="0" fillId="0" borderId="26" xfId="0" applyBorder="1"/>
    <xf numFmtId="49" fontId="13" fillId="3" borderId="2" xfId="0" applyNumberFormat="1" applyFont="1" applyFill="1" applyBorder="1"/>
    <xf numFmtId="49" fontId="13" fillId="3" borderId="16"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1" fillId="9" borderId="23" xfId="2" applyFont="1" applyBorder="1"/>
    <xf numFmtId="0" fontId="1" fillId="0" borderId="12" xfId="0" applyFont="1" applyBorder="1" applyAlignment="1">
      <alignment horizontal="center" wrapText="1"/>
    </xf>
    <xf numFmtId="0" fontId="1" fillId="0" borderId="21" xfId="0" applyFont="1" applyBorder="1"/>
    <xf numFmtId="0" fontId="0" fillId="0" borderId="21" xfId="0" applyBorder="1" applyAlignment="1">
      <alignment wrapText="1"/>
    </xf>
    <xf numFmtId="3" fontId="9" fillId="3" borderId="10" xfId="0" applyNumberFormat="1" applyFont="1" applyFill="1" applyBorder="1" applyAlignment="1">
      <alignment horizontal="left" wrapText="1"/>
    </xf>
    <xf numFmtId="0" fontId="12" fillId="3" borderId="12" xfId="0" applyFont="1" applyFill="1" applyBorder="1" applyAlignment="1">
      <alignment horizontal="left" wrapText="1"/>
    </xf>
    <xf numFmtId="3" fontId="12" fillId="3" borderId="14" xfId="0" applyNumberFormat="1" applyFont="1" applyFill="1" applyBorder="1" applyAlignment="1">
      <alignment horizontal="left" wrapText="1"/>
    </xf>
    <xf numFmtId="0" fontId="0" fillId="0" borderId="17" xfId="0" applyBorder="1" applyAlignment="1">
      <alignment horizontal="center" wrapText="1"/>
    </xf>
    <xf numFmtId="3" fontId="0" fillId="4" borderId="15" xfId="0" applyNumberFormat="1" applyFill="1" applyBorder="1" applyAlignment="1">
      <alignment wrapText="1"/>
    </xf>
    <xf numFmtId="3" fontId="12" fillId="3" borderId="12" xfId="0" applyNumberFormat="1" applyFont="1" applyFill="1" applyBorder="1" applyAlignment="1">
      <alignment horizontal="left" wrapText="1"/>
    </xf>
    <xf numFmtId="0" fontId="1" fillId="0" borderId="11" xfId="0" applyFont="1" applyBorder="1" applyAlignment="1">
      <alignment horizontal="center" wrapText="1"/>
    </xf>
    <xf numFmtId="3" fontId="7" fillId="2" borderId="12" xfId="0" applyNumberFormat="1" applyFont="1" applyFill="1" applyBorder="1" applyAlignment="1">
      <alignment wrapText="1"/>
    </xf>
    <xf numFmtId="4" fontId="9" fillId="3" borderId="12" xfId="0" applyNumberFormat="1" applyFont="1" applyFill="1" applyBorder="1" applyAlignment="1">
      <alignment horizontal="left" wrapText="1"/>
    </xf>
    <xf numFmtId="3" fontId="12" fillId="0" borderId="10" xfId="0" applyNumberFormat="1" applyFont="1" applyBorder="1" applyAlignment="1">
      <alignment wrapText="1"/>
    </xf>
    <xf numFmtId="3" fontId="7" fillId="2" borderId="14" xfId="0" applyNumberFormat="1" applyFont="1" applyFill="1" applyBorder="1" applyAlignment="1">
      <alignment wrapText="1"/>
    </xf>
    <xf numFmtId="3" fontId="7" fillId="0" borderId="10" xfId="0" applyNumberFormat="1" applyFont="1" applyBorder="1" applyAlignment="1">
      <alignment wrapText="1"/>
    </xf>
    <xf numFmtId="3" fontId="7" fillId="7" borderId="12" xfId="0" applyNumberFormat="1" applyFont="1" applyFill="1" applyBorder="1" applyAlignment="1">
      <alignment horizontal="left" wrapText="1"/>
    </xf>
    <xf numFmtId="3" fontId="7" fillId="4" borderId="14" xfId="0" applyNumberFormat="1" applyFont="1" applyFill="1" applyBorder="1" applyAlignment="1">
      <alignment wrapText="1"/>
    </xf>
    <xf numFmtId="3" fontId="0" fillId="0" borderId="10" xfId="0" applyNumberFormat="1" applyBorder="1" applyAlignment="1">
      <alignment horizontal="right" wrapText="1"/>
    </xf>
    <xf numFmtId="0" fontId="16" fillId="0" borderId="23" xfId="0" quotePrefix="1" applyFont="1" applyBorder="1" applyAlignment="1">
      <alignment wrapText="1"/>
    </xf>
    <xf numFmtId="0" fontId="8" fillId="0" borderId="0" xfId="0" applyFont="1"/>
    <xf numFmtId="0" fontId="25" fillId="0" borderId="12" xfId="0" applyFont="1" applyBorder="1"/>
    <xf numFmtId="0" fontId="26" fillId="0" borderId="0" xfId="0" applyFont="1"/>
    <xf numFmtId="0" fontId="27" fillId="0" borderId="0" xfId="0" applyFont="1"/>
    <xf numFmtId="0" fontId="27" fillId="0" borderId="0" xfId="0" applyFont="1" applyAlignment="1">
      <alignment horizontal="center" wrapText="1"/>
    </xf>
    <xf numFmtId="0" fontId="2" fillId="0" borderId="12" xfId="0" applyFont="1" applyBorder="1" applyAlignment="1">
      <alignment horizontal="left" wrapText="1"/>
    </xf>
    <xf numFmtId="3" fontId="0" fillId="7" borderId="12" xfId="0" applyNumberFormat="1" applyFill="1" applyBorder="1" applyAlignment="1">
      <alignment horizontal="left" wrapText="1"/>
    </xf>
    <xf numFmtId="3" fontId="16" fillId="0" borderId="11" xfId="0" applyNumberFormat="1" applyFont="1" applyBorder="1" applyAlignment="1">
      <alignment horizontal="right" wrapText="1"/>
    </xf>
    <xf numFmtId="0" fontId="1" fillId="0" borderId="28" xfId="0" applyFont="1" applyBorder="1" applyAlignment="1">
      <alignment horizontal="center" wrapText="1"/>
    </xf>
    <xf numFmtId="3" fontId="13" fillId="3" borderId="0" xfId="0" applyNumberFormat="1" applyFont="1" applyFill="1" applyAlignment="1">
      <alignment horizontal="right" wrapText="1"/>
    </xf>
    <xf numFmtId="3" fontId="9" fillId="3" borderId="22" xfId="0" applyNumberFormat="1" applyFont="1" applyFill="1" applyBorder="1" applyAlignment="1">
      <alignment horizontal="right" wrapText="1"/>
    </xf>
    <xf numFmtId="3" fontId="9" fillId="3" borderId="24" xfId="0" applyNumberFormat="1" applyFont="1" applyFill="1" applyBorder="1" applyAlignment="1">
      <alignment horizontal="right" wrapText="1"/>
    </xf>
    <xf numFmtId="3" fontId="12" fillId="3" borderId="24" xfId="0" applyNumberFormat="1" applyFont="1" applyFill="1" applyBorder="1" applyAlignment="1">
      <alignment horizontal="right" wrapText="1"/>
    </xf>
    <xf numFmtId="0" fontId="21" fillId="0" borderId="0" xfId="0" applyFont="1"/>
    <xf numFmtId="0" fontId="7" fillId="0" borderId="12" xfId="0" applyFont="1" applyBorder="1" applyAlignment="1">
      <alignment wrapText="1"/>
    </xf>
    <xf numFmtId="2" fontId="16" fillId="0" borderId="9" xfId="0" applyNumberFormat="1" applyFont="1" applyBorder="1" applyAlignment="1">
      <alignment horizontal="right" wrapText="1"/>
    </xf>
    <xf numFmtId="3" fontId="16" fillId="0" borderId="0" xfId="0" applyNumberFormat="1" applyFont="1" applyAlignment="1">
      <alignment wrapText="1"/>
    </xf>
    <xf numFmtId="1" fontId="16" fillId="0" borderId="0" xfId="0" applyNumberFormat="1" applyFont="1" applyAlignment="1">
      <alignment wrapText="1"/>
    </xf>
    <xf numFmtId="0" fontId="1" fillId="0" borderId="0" xfId="0" applyFont="1" applyAlignment="1">
      <alignment horizontal="left" wrapText="1"/>
    </xf>
    <xf numFmtId="0" fontId="7" fillId="0" borderId="0" xfId="0" applyFont="1"/>
    <xf numFmtId="0" fontId="0" fillId="0" borderId="30" xfId="0" applyBorder="1" applyAlignment="1">
      <alignment wrapText="1"/>
    </xf>
    <xf numFmtId="0" fontId="21" fillId="0" borderId="36" xfId="0" applyFont="1" applyBorder="1" applyAlignment="1">
      <alignment wrapText="1"/>
    </xf>
    <xf numFmtId="0" fontId="21" fillId="0" borderId="37" xfId="0" applyFont="1" applyBorder="1" applyAlignment="1">
      <alignment wrapText="1"/>
    </xf>
    <xf numFmtId="1" fontId="21" fillId="0" borderId="37" xfId="0" applyNumberFormat="1" applyFont="1" applyBorder="1" applyAlignment="1">
      <alignment wrapText="1"/>
    </xf>
    <xf numFmtId="1" fontId="21" fillId="0" borderId="38" xfId="0" applyNumberFormat="1" applyFont="1" applyBorder="1" applyAlignment="1">
      <alignment wrapText="1"/>
    </xf>
    <xf numFmtId="0" fontId="16" fillId="0" borderId="21" xfId="0" applyFont="1" applyBorder="1" applyAlignment="1">
      <alignment vertical="center"/>
    </xf>
    <xf numFmtId="0" fontId="21" fillId="0" borderId="14" xfId="0" applyFont="1" applyBorder="1" applyAlignment="1">
      <alignment wrapText="1"/>
    </xf>
    <xf numFmtId="0" fontId="21" fillId="0" borderId="12" xfId="0" applyFont="1" applyBorder="1" applyAlignment="1">
      <alignment wrapText="1"/>
    </xf>
    <xf numFmtId="1" fontId="21" fillId="0" borderId="12" xfId="0" applyNumberFormat="1" applyFont="1" applyBorder="1" applyAlignment="1">
      <alignment wrapText="1"/>
    </xf>
    <xf numFmtId="1" fontId="21" fillId="0" borderId="39" xfId="0" applyNumberFormat="1" applyFont="1" applyBorder="1" applyAlignment="1">
      <alignment wrapText="1"/>
    </xf>
    <xf numFmtId="0" fontId="21" fillId="0" borderId="14" xfId="0" applyFont="1" applyBorder="1" applyAlignment="1">
      <alignment horizontal="center" wrapText="1"/>
    </xf>
    <xf numFmtId="0" fontId="21" fillId="0" borderId="44" xfId="0" applyFont="1" applyBorder="1" applyAlignment="1">
      <alignment wrapText="1"/>
    </xf>
    <xf numFmtId="0" fontId="21" fillId="0" borderId="38" xfId="0" applyFont="1" applyBorder="1" applyAlignment="1">
      <alignment wrapText="1"/>
    </xf>
    <xf numFmtId="0" fontId="0" fillId="0" borderId="11" xfId="0" applyBorder="1" applyAlignment="1">
      <alignment wrapText="1"/>
    </xf>
    <xf numFmtId="3" fontId="7" fillId="4" borderId="10" xfId="0" applyNumberFormat="1" applyFont="1" applyFill="1" applyBorder="1" applyAlignment="1">
      <alignment horizontal="right" wrapText="1"/>
    </xf>
    <xf numFmtId="0" fontId="21" fillId="0" borderId="28" xfId="0" applyFont="1" applyBorder="1"/>
    <xf numFmtId="0" fontId="11" fillId="0" borderId="8" xfId="0" applyFont="1" applyBorder="1" applyAlignment="1">
      <alignment horizontal="right" wrapText="1"/>
    </xf>
    <xf numFmtId="14" fontId="28" fillId="3" borderId="10" xfId="0" applyNumberFormat="1" applyFont="1" applyFill="1" applyBorder="1" applyAlignment="1">
      <alignment horizontal="right"/>
    </xf>
    <xf numFmtId="0" fontId="11" fillId="0" borderId="13" xfId="0" applyFont="1" applyBorder="1" applyAlignment="1">
      <alignment horizontal="right" wrapText="1"/>
    </xf>
    <xf numFmtId="0" fontId="28" fillId="3" borderId="14" xfId="0" applyFont="1" applyFill="1" applyBorder="1" applyAlignment="1">
      <alignment horizontal="right"/>
    </xf>
    <xf numFmtId="0" fontId="28" fillId="8" borderId="27" xfId="0" applyFont="1" applyFill="1" applyBorder="1" applyAlignment="1">
      <alignment horizontal="left"/>
    </xf>
    <xf numFmtId="0" fontId="0" fillId="0" borderId="45" xfId="0" applyBorder="1" applyAlignment="1">
      <alignment wrapText="1"/>
    </xf>
    <xf numFmtId="0" fontId="21" fillId="10" borderId="23" xfId="0" applyFont="1" applyFill="1" applyBorder="1"/>
    <xf numFmtId="3" fontId="12" fillId="3" borderId="0" xfId="0" applyNumberFormat="1" applyFont="1" applyFill="1"/>
    <xf numFmtId="0" fontId="7" fillId="0" borderId="1" xfId="0" applyFont="1" applyBorder="1" applyAlignment="1">
      <alignment wrapText="1"/>
    </xf>
    <xf numFmtId="0" fontId="31" fillId="0" borderId="31" xfId="0" applyFont="1" applyBorder="1" applyAlignment="1">
      <alignment wrapText="1"/>
    </xf>
    <xf numFmtId="0" fontId="7" fillId="0" borderId="35"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4" xfId="0" applyFont="1" applyBorder="1" applyAlignment="1">
      <alignment horizontal="center"/>
    </xf>
    <xf numFmtId="0" fontId="30" fillId="0" borderId="32" xfId="0" applyFont="1" applyBorder="1" applyAlignment="1">
      <alignment wrapText="1"/>
    </xf>
    <xf numFmtId="0" fontId="21" fillId="0" borderId="1" xfId="0" applyFont="1" applyBorder="1" applyAlignment="1">
      <alignment horizontal="center" wrapText="1"/>
    </xf>
    <xf numFmtId="0" fontId="21" fillId="0" borderId="29" xfId="0" applyFont="1" applyBorder="1" applyAlignment="1">
      <alignment wrapText="1"/>
    </xf>
    <xf numFmtId="0" fontId="21" fillId="0" borderId="33" xfId="0" applyFont="1" applyBorder="1" applyAlignment="1">
      <alignment wrapText="1"/>
    </xf>
    <xf numFmtId="2" fontId="21" fillId="6" borderId="12" xfId="0" applyNumberFormat="1" applyFont="1" applyFill="1" applyBorder="1" applyAlignment="1">
      <alignment horizontal="right" wrapText="1"/>
    </xf>
    <xf numFmtId="2" fontId="21" fillId="6" borderId="4" xfId="1" applyNumberFormat="1" applyFont="1" applyFill="1" applyBorder="1" applyAlignment="1">
      <alignment wrapText="1"/>
    </xf>
    <xf numFmtId="2" fontId="21" fillId="6" borderId="12" xfId="0" applyNumberFormat="1" applyFont="1" applyFill="1" applyBorder="1" applyAlignment="1">
      <alignment wrapText="1"/>
    </xf>
    <xf numFmtId="0" fontId="21" fillId="0" borderId="34" xfId="0" applyFont="1" applyBorder="1" applyAlignment="1">
      <alignment wrapText="1"/>
    </xf>
    <xf numFmtId="0" fontId="21" fillId="0" borderId="6" xfId="0" applyFont="1" applyBorder="1" applyAlignment="1">
      <alignment horizontal="center" wrapText="1"/>
    </xf>
    <xf numFmtId="9" fontId="21" fillId="6" borderId="39" xfId="1" applyFont="1" applyFill="1" applyBorder="1" applyAlignment="1">
      <alignment wrapText="1"/>
    </xf>
    <xf numFmtId="9" fontId="21" fillId="6" borderId="7" xfId="1" applyFont="1" applyFill="1" applyBorder="1" applyAlignment="1">
      <alignment wrapText="1"/>
    </xf>
    <xf numFmtId="0" fontId="29" fillId="0" borderId="0" xfId="0" applyFont="1" applyAlignment="1">
      <alignment wrapText="1"/>
    </xf>
    <xf numFmtId="0" fontId="21" fillId="0" borderId="18" xfId="0" applyFont="1" applyBorder="1" applyAlignment="1">
      <alignment wrapText="1"/>
    </xf>
    <xf numFmtId="0" fontId="7" fillId="0" borderId="9" xfId="0" applyFont="1" applyBorder="1" applyAlignment="1">
      <alignment wrapText="1"/>
    </xf>
    <xf numFmtId="0" fontId="21" fillId="0" borderId="3" xfId="0" applyFont="1" applyBorder="1"/>
    <xf numFmtId="0" fontId="7" fillId="0" borderId="4" xfId="0" applyFont="1" applyBorder="1" applyAlignment="1">
      <alignment wrapText="1"/>
    </xf>
    <xf numFmtId="0" fontId="21" fillId="0" borderId="19" xfId="0" applyFont="1" applyBorder="1"/>
    <xf numFmtId="0" fontId="7" fillId="0" borderId="29" xfId="0" applyFont="1" applyBorder="1" applyAlignment="1">
      <alignment wrapText="1"/>
    </xf>
    <xf numFmtId="0" fontId="7" fillId="0" borderId="31" xfId="0" applyFont="1" applyBorder="1" applyAlignment="1">
      <alignment wrapText="1"/>
    </xf>
    <xf numFmtId="0" fontId="7" fillId="0" borderId="10" xfId="0" applyFont="1" applyBorder="1" applyAlignment="1">
      <alignment wrapText="1"/>
    </xf>
    <xf numFmtId="0" fontId="21" fillId="0" borderId="4" xfId="0" applyFont="1" applyBorder="1" applyAlignment="1">
      <alignment horizontal="center" wrapText="1"/>
    </xf>
    <xf numFmtId="0" fontId="21" fillId="0" borderId="32" xfId="0" applyFont="1" applyBorder="1" applyAlignment="1">
      <alignment wrapText="1"/>
    </xf>
    <xf numFmtId="2" fontId="21" fillId="6" borderId="4" xfId="0" applyNumberFormat="1" applyFont="1" applyFill="1" applyBorder="1" applyAlignment="1">
      <alignment horizontal="right" wrapText="1"/>
    </xf>
    <xf numFmtId="2" fontId="21" fillId="6" borderId="4" xfId="0" applyNumberFormat="1" applyFont="1" applyFill="1" applyBorder="1" applyAlignment="1">
      <alignment wrapText="1"/>
    </xf>
    <xf numFmtId="0" fontId="21" fillId="0" borderId="34" xfId="0" applyFont="1" applyBorder="1" applyAlignment="1">
      <alignment horizontal="left" wrapText="1"/>
    </xf>
    <xf numFmtId="2" fontId="21" fillId="6" borderId="39" xfId="0" applyNumberFormat="1" applyFont="1" applyFill="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0" fontId="32" fillId="0" borderId="20" xfId="0" applyFont="1" applyBorder="1"/>
    <xf numFmtId="0" fontId="7" fillId="0" borderId="21" xfId="0" applyFont="1" applyBorder="1" applyAlignment="1">
      <alignment wrapText="1"/>
    </xf>
    <xf numFmtId="0" fontId="7" fillId="0" borderId="30" xfId="0" applyFont="1" applyBorder="1" applyAlignment="1">
      <alignment wrapText="1"/>
    </xf>
    <xf numFmtId="0" fontId="21" fillId="0" borderId="43" xfId="0" applyFont="1" applyBorder="1"/>
    <xf numFmtId="0" fontId="21" fillId="0" borderId="42" xfId="0" applyFont="1" applyBorder="1" applyAlignment="1">
      <alignment wrapText="1"/>
    </xf>
    <xf numFmtId="167" fontId="21" fillId="6" borderId="4" xfId="1" applyNumberFormat="1" applyFont="1" applyFill="1" applyBorder="1" applyAlignment="1">
      <alignment wrapText="1"/>
    </xf>
    <xf numFmtId="2" fontId="21" fillId="6" borderId="7" xfId="0" applyNumberFormat="1" applyFont="1" applyFill="1" applyBorder="1" applyAlignment="1">
      <alignment wrapText="1"/>
    </xf>
    <xf numFmtId="0" fontId="7" fillId="0" borderId="11" xfId="0" applyFont="1" applyBorder="1" applyAlignment="1">
      <alignment horizontal="center" wrapText="1"/>
    </xf>
    <xf numFmtId="0" fontId="7" fillId="0" borderId="13" xfId="0" applyFont="1" applyBorder="1" applyAlignment="1">
      <alignment horizontal="center" wrapText="1"/>
    </xf>
    <xf numFmtId="0" fontId="7" fillId="0" borderId="8" xfId="0" applyFont="1" applyBorder="1" applyAlignment="1">
      <alignment horizontal="center" wrapText="1"/>
    </xf>
    <xf numFmtId="0" fontId="21" fillId="0" borderId="17" xfId="0" applyFont="1" applyBorder="1" applyAlignment="1">
      <alignment horizontal="center" wrapText="1"/>
    </xf>
    <xf numFmtId="0" fontId="7" fillId="0" borderId="1" xfId="0" applyFont="1" applyBorder="1" applyAlignment="1">
      <alignment horizontal="left" wrapText="1"/>
    </xf>
    <xf numFmtId="0" fontId="23" fillId="0" borderId="1" xfId="0" applyFont="1" applyBorder="1" applyAlignment="1">
      <alignment horizontal="left" wrapText="1"/>
    </xf>
    <xf numFmtId="0" fontId="7" fillId="0" borderId="1" xfId="0" applyFont="1" applyBorder="1" applyAlignment="1">
      <alignment horizontal="center" wrapText="1"/>
    </xf>
    <xf numFmtId="0" fontId="7" fillId="0" borderId="9" xfId="0" applyFont="1" applyBorder="1" applyAlignment="1">
      <alignment horizontal="left" wrapText="1"/>
    </xf>
    <xf numFmtId="0" fontId="21" fillId="0" borderId="8" xfId="0" applyFont="1" applyBorder="1" applyAlignment="1">
      <alignment horizontal="center" wrapText="1"/>
    </xf>
    <xf numFmtId="0" fontId="21" fillId="0" borderId="9" xfId="0" applyFont="1" applyBorder="1" applyAlignment="1">
      <alignment wrapText="1"/>
    </xf>
    <xf numFmtId="0" fontId="21" fillId="0" borderId="29" xfId="0" applyFont="1" applyBorder="1" applyAlignment="1">
      <alignment horizontal="center" wrapText="1"/>
    </xf>
    <xf numFmtId="164" fontId="21" fillId="6" borderId="12" xfId="0" applyNumberFormat="1" applyFont="1" applyFill="1" applyBorder="1" applyAlignment="1">
      <alignment wrapText="1"/>
    </xf>
    <xf numFmtId="164" fontId="21" fillId="6" borderId="4" xfId="0" applyNumberFormat="1" applyFont="1" applyFill="1" applyBorder="1" applyAlignment="1">
      <alignment wrapText="1"/>
    </xf>
    <xf numFmtId="164" fontId="21" fillId="6" borderId="12" xfId="0" applyNumberFormat="1" applyFont="1" applyFill="1" applyBorder="1" applyAlignment="1">
      <alignment horizontal="right" wrapText="1"/>
    </xf>
    <xf numFmtId="164" fontId="21" fillId="6" borderId="4" xfId="0" applyNumberFormat="1" applyFont="1" applyFill="1" applyBorder="1" applyAlignment="1">
      <alignment horizontal="right" wrapText="1"/>
    </xf>
    <xf numFmtId="0" fontId="21" fillId="6" borderId="4" xfId="0" applyFont="1" applyFill="1" applyBorder="1" applyAlignment="1">
      <alignment wrapText="1"/>
    </xf>
    <xf numFmtId="164" fontId="21" fillId="6" borderId="39" xfId="0" applyNumberFormat="1" applyFont="1" applyFill="1" applyBorder="1" applyAlignment="1">
      <alignment wrapText="1"/>
    </xf>
    <xf numFmtId="164" fontId="21" fillId="6" borderId="7" xfId="0" applyNumberFormat="1" applyFont="1" applyFill="1" applyBorder="1" applyAlignment="1">
      <alignment wrapText="1"/>
    </xf>
    <xf numFmtId="165" fontId="7" fillId="4" borderId="12" xfId="0" applyNumberFormat="1" applyFont="1" applyFill="1" applyBorder="1" applyAlignment="1">
      <alignment horizontal="right" wrapText="1"/>
    </xf>
    <xf numFmtId="1" fontId="7" fillId="4" borderId="12" xfId="0" applyNumberFormat="1" applyFont="1" applyFill="1" applyBorder="1" applyAlignment="1">
      <alignment horizontal="right" wrapText="1"/>
    </xf>
    <xf numFmtId="4" fontId="12" fillId="3" borderId="12" xfId="0" applyNumberFormat="1" applyFont="1" applyFill="1" applyBorder="1" applyAlignment="1">
      <alignment horizontal="left" wrapText="1"/>
    </xf>
    <xf numFmtId="0" fontId="21" fillId="0" borderId="11" xfId="0" applyFont="1" applyBorder="1" applyAlignment="1">
      <alignment horizontal="center" wrapText="1"/>
    </xf>
    <xf numFmtId="0" fontId="7" fillId="0" borderId="9" xfId="0" applyFont="1" applyBorder="1" applyAlignment="1">
      <alignment horizontal="center" wrapText="1"/>
    </xf>
    <xf numFmtId="164" fontId="7" fillId="4" borderId="12" xfId="0" applyNumberFormat="1" applyFont="1" applyFill="1" applyBorder="1" applyAlignment="1">
      <alignment horizontal="right" wrapText="1"/>
    </xf>
    <xf numFmtId="2" fontId="7" fillId="4" borderId="12" xfId="0" applyNumberFormat="1" applyFont="1" applyFill="1" applyBorder="1" applyAlignment="1">
      <alignment horizontal="right" wrapText="1"/>
    </xf>
    <xf numFmtId="164" fontId="7" fillId="4" borderId="14" xfId="0" applyNumberFormat="1" applyFont="1" applyFill="1" applyBorder="1" applyAlignment="1">
      <alignment horizontal="right" wrapText="1"/>
    </xf>
    <xf numFmtId="0" fontId="0" fillId="5" borderId="0" xfId="0" applyFill="1"/>
    <xf numFmtId="0" fontId="11" fillId="0" borderId="17" xfId="0" applyFont="1" applyBorder="1" applyAlignment="1">
      <alignment horizontal="right" wrapText="1"/>
    </xf>
    <xf numFmtId="14" fontId="32" fillId="0" borderId="15" xfId="0" applyNumberFormat="1" applyFont="1" applyBorder="1"/>
    <xf numFmtId="0" fontId="7" fillId="0" borderId="18" xfId="0" applyFont="1" applyBorder="1" applyAlignment="1">
      <alignment wrapText="1"/>
    </xf>
    <xf numFmtId="3" fontId="9" fillId="3" borderId="15" xfId="0" applyNumberFormat="1" applyFont="1" applyFill="1" applyBorder="1" applyAlignment="1">
      <alignment horizontal="left" wrapText="1"/>
    </xf>
    <xf numFmtId="0" fontId="8" fillId="0" borderId="0" xfId="0" applyFont="1" applyAlignment="1">
      <alignment wrapText="1"/>
    </xf>
    <xf numFmtId="0" fontId="0" fillId="0" borderId="0" xfId="0"/>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4" xfId="0" applyFont="1" applyFill="1" applyBorder="1" applyAlignment="1">
      <alignment horizontal="center"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0" fillId="3" borderId="14" xfId="0" applyFill="1" applyBorder="1" applyAlignment="1">
      <alignment horizontal="left" vertical="top" wrapText="1"/>
    </xf>
    <xf numFmtId="0" fontId="30" fillId="0" borderId="40" xfId="0" applyFont="1" applyBorder="1" applyAlignment="1">
      <alignment horizontal="left" wrapText="1"/>
    </xf>
    <xf numFmtId="0" fontId="30" fillId="0" borderId="9" xfId="0" applyFont="1" applyBorder="1" applyAlignment="1">
      <alignment horizontal="left" wrapText="1"/>
    </xf>
    <xf numFmtId="0" fontId="30" fillId="0" borderId="41" xfId="0" applyFont="1" applyBorder="1" applyAlignment="1">
      <alignment horizontal="left" wrapText="1"/>
    </xf>
    <xf numFmtId="0" fontId="30" fillId="0" borderId="19" xfId="0" applyFont="1" applyBorder="1" applyAlignment="1">
      <alignment wrapText="1"/>
    </xf>
    <xf numFmtId="0" fontId="7" fillId="0" borderId="1" xfId="0" applyFont="1" applyBorder="1" applyAlignment="1">
      <alignment wrapText="1"/>
    </xf>
    <xf numFmtId="0" fontId="7" fillId="0" borderId="29" xfId="0" applyFont="1" applyBorder="1" applyAlignment="1">
      <alignment wrapText="1"/>
    </xf>
    <xf numFmtId="0" fontId="1" fillId="0" borderId="40" xfId="0" applyFont="1" applyBorder="1" applyAlignment="1">
      <alignment wrapText="1"/>
    </xf>
    <xf numFmtId="0" fontId="0" fillId="0" borderId="9" xfId="0" applyBorder="1" applyAlignment="1">
      <alignment wrapText="1"/>
    </xf>
    <xf numFmtId="0" fontId="0" fillId="0" borderId="41" xfId="0" applyBorder="1" applyAlignment="1">
      <alignment wrapText="1"/>
    </xf>
    <xf numFmtId="0" fontId="21" fillId="0" borderId="19" xfId="0" applyFont="1" applyBorder="1" applyAlignment="1">
      <alignment wrapText="1"/>
    </xf>
    <xf numFmtId="0" fontId="23" fillId="0" borderId="17" xfId="0" applyFont="1" applyBorder="1" applyAlignment="1">
      <alignment wrapText="1"/>
    </xf>
    <xf numFmtId="0" fontId="0" fillId="0" borderId="18" xfId="0" applyBorder="1" applyAlignment="1">
      <alignment wrapText="1"/>
    </xf>
    <xf numFmtId="0" fontId="0" fillId="0" borderId="15" xfId="0" applyBorder="1" applyAlignment="1">
      <alignment wrapText="1"/>
    </xf>
    <xf numFmtId="0" fontId="23" fillId="0" borderId="17" xfId="0" applyFont="1" applyBorder="1" applyAlignment="1">
      <alignment horizontal="left" wrapText="1"/>
    </xf>
    <xf numFmtId="0" fontId="23" fillId="0" borderId="18" xfId="0" applyFont="1" applyBorder="1" applyAlignment="1">
      <alignment horizontal="left" wrapText="1"/>
    </xf>
    <xf numFmtId="0" fontId="23" fillId="0" borderId="15"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00"/>
  <sheetViews>
    <sheetView tabSelected="1" topLeftCell="A29" zoomScale="70" zoomScaleNormal="70" workbookViewId="0">
      <selection activeCell="P64" sqref="P64"/>
    </sheetView>
  </sheetViews>
  <sheetFormatPr defaultColWidth="8.85546875" defaultRowHeight="15" x14ac:dyDescent="0.25"/>
  <cols>
    <col min="1" max="1" width="13.28515625" style="24" customWidth="1"/>
    <col min="2" max="2" width="19.85546875" style="1" bestFit="1" customWidth="1"/>
    <col min="3" max="3" width="76.42578125" style="1" customWidth="1"/>
    <col min="4" max="4" width="16.5703125" style="1" customWidth="1"/>
    <col min="5" max="5" width="2.5703125" style="1" customWidth="1"/>
    <col min="6" max="6" width="14.85546875" style="1" customWidth="1"/>
    <col min="7" max="7" width="18.85546875" style="1" customWidth="1"/>
    <col min="8" max="8" width="86.7109375" style="1" bestFit="1" customWidth="1"/>
    <col min="9" max="9" width="13.42578125" style="1" bestFit="1" customWidth="1"/>
    <col min="10" max="10" width="2.85546875" style="1" customWidth="1"/>
    <col min="11" max="11" width="53.5703125" style="1" customWidth="1"/>
    <col min="12" max="12" width="11.28515625" style="1" customWidth="1"/>
    <col min="13" max="16384" width="8.85546875" style="1"/>
  </cols>
  <sheetData>
    <row r="1" spans="1:9" ht="21" x14ac:dyDescent="0.35">
      <c r="C1" s="246" t="s">
        <v>534</v>
      </c>
      <c r="D1" s="247">
        <v>45846</v>
      </c>
    </row>
    <row r="2" spans="1:9" ht="24" x14ac:dyDescent="0.4">
      <c r="A2" s="137" t="s">
        <v>426</v>
      </c>
      <c r="C2" s="138"/>
    </row>
    <row r="3" spans="1:9" ht="21.75" thickBot="1" x14ac:dyDescent="0.4">
      <c r="A3" s="1"/>
      <c r="C3" s="24"/>
      <c r="D3" s="136"/>
    </row>
    <row r="4" spans="1:9" ht="21.75" thickBot="1" x14ac:dyDescent="0.4">
      <c r="A4" s="101" t="s">
        <v>0</v>
      </c>
      <c r="B4" s="175"/>
      <c r="C4" s="174" t="s">
        <v>332</v>
      </c>
      <c r="G4" s="102" t="s">
        <v>162</v>
      </c>
      <c r="H4" s="103"/>
    </row>
    <row r="5" spans="1:9" ht="21.75" thickBot="1" x14ac:dyDescent="0.4">
      <c r="A5" s="101" t="s">
        <v>411</v>
      </c>
      <c r="B5" s="175"/>
      <c r="C5" s="174" t="s">
        <v>412</v>
      </c>
      <c r="G5" s="104" t="s">
        <v>36</v>
      </c>
      <c r="H5" s="105"/>
    </row>
    <row r="6" spans="1:9" x14ac:dyDescent="0.25">
      <c r="A6" s="1"/>
      <c r="C6" s="24"/>
      <c r="G6" s="106" t="s">
        <v>50</v>
      </c>
      <c r="H6" s="107"/>
    </row>
    <row r="7" spans="1:9" ht="21" x14ac:dyDescent="0.35">
      <c r="A7" s="1"/>
      <c r="C7" s="170" t="s">
        <v>535</v>
      </c>
      <c r="D7" s="171" t="s">
        <v>550</v>
      </c>
      <c r="F7"/>
      <c r="G7" s="108" t="s">
        <v>38</v>
      </c>
      <c r="H7" s="109"/>
    </row>
    <row r="8" spans="1:9" ht="21" x14ac:dyDescent="0.35">
      <c r="A8" s="1"/>
      <c r="C8" s="172" t="s">
        <v>536</v>
      </c>
      <c r="D8" s="173" t="s">
        <v>551</v>
      </c>
      <c r="F8"/>
      <c r="G8" s="110" t="s">
        <v>304</v>
      </c>
      <c r="H8" s="111"/>
    </row>
    <row r="9" spans="1:9" ht="15.75" thickBot="1" x14ac:dyDescent="0.3">
      <c r="A9" s="1"/>
      <c r="C9" s="24"/>
      <c r="F9"/>
      <c r="G9" s="112" t="s">
        <v>410</v>
      </c>
      <c r="H9" s="113"/>
    </row>
    <row r="10" spans="1:9" ht="30.75" customHeight="1" x14ac:dyDescent="0.25">
      <c r="A10" s="250" t="s">
        <v>537</v>
      </c>
      <c r="B10" s="251"/>
      <c r="C10" s="251"/>
      <c r="D10" s="251"/>
      <c r="E10" s="251"/>
      <c r="F10" s="251"/>
      <c r="G10" s="100"/>
      <c r="H10" s="100"/>
      <c r="I10" s="85"/>
    </row>
    <row r="11" spans="1:9" x14ac:dyDescent="0.25">
      <c r="A11" s="1"/>
      <c r="C11" s="24"/>
      <c r="F11"/>
      <c r="G11" s="100"/>
      <c r="H11" s="100"/>
    </row>
    <row r="12" spans="1:9" ht="21" x14ac:dyDescent="0.35">
      <c r="A12" s="4" t="s">
        <v>389</v>
      </c>
      <c r="G12" s="84"/>
      <c r="I12" s="85"/>
    </row>
    <row r="13" spans="1:9" x14ac:dyDescent="0.25">
      <c r="A13" s="26" t="s">
        <v>390</v>
      </c>
      <c r="B13" s="27"/>
      <c r="C13" s="27" t="s">
        <v>40</v>
      </c>
      <c r="D13" s="86"/>
      <c r="E13" s="86"/>
      <c r="F13" s="86" t="s">
        <v>391</v>
      </c>
      <c r="G13" s="86" t="s">
        <v>417</v>
      </c>
      <c r="H13" s="64" t="s">
        <v>392</v>
      </c>
    </row>
    <row r="14" spans="1:9" x14ac:dyDescent="0.25">
      <c r="A14" s="21" t="s">
        <v>469</v>
      </c>
      <c r="B14" s="21" t="s">
        <v>470</v>
      </c>
      <c r="C14" s="21" t="s">
        <v>559</v>
      </c>
      <c r="D14" s="176" t="s">
        <v>471</v>
      </c>
      <c r="E14" s="134"/>
      <c r="F14" s="177">
        <v>200000</v>
      </c>
      <c r="G14" s="147"/>
      <c r="H14" s="148"/>
    </row>
    <row r="15" spans="1:9" x14ac:dyDescent="0.25">
      <c r="A15" s="21"/>
      <c r="B15" s="21"/>
      <c r="C15" s="21"/>
      <c r="D15" s="169"/>
      <c r="E15" s="147"/>
      <c r="F15" s="153"/>
      <c r="G15" s="147"/>
      <c r="H15" s="148"/>
    </row>
    <row r="16" spans="1:9" ht="30" x14ac:dyDescent="0.25">
      <c r="A16" s="1" t="s">
        <v>393</v>
      </c>
      <c r="B16" s="1" t="s">
        <v>418</v>
      </c>
      <c r="C16" s="1" t="s">
        <v>419</v>
      </c>
      <c r="D16" s="114" t="s">
        <v>459</v>
      </c>
      <c r="E16" s="142"/>
      <c r="F16" s="143">
        <v>80</v>
      </c>
      <c r="G16" s="152" t="s">
        <v>506</v>
      </c>
      <c r="H16" s="139" t="s">
        <v>420</v>
      </c>
    </row>
    <row r="17" spans="1:9" ht="30" x14ac:dyDescent="0.25">
      <c r="A17" s="1" t="s">
        <v>393</v>
      </c>
      <c r="B17" s="1" t="s">
        <v>418</v>
      </c>
      <c r="C17" s="1" t="s">
        <v>419</v>
      </c>
      <c r="D17" s="114" t="s">
        <v>460</v>
      </c>
      <c r="E17" s="142"/>
      <c r="F17" s="143">
        <v>20</v>
      </c>
      <c r="G17" s="152" t="s">
        <v>506</v>
      </c>
      <c r="H17" s="139" t="s">
        <v>420</v>
      </c>
    </row>
    <row r="18" spans="1:9" x14ac:dyDescent="0.25">
      <c r="A18" s="3"/>
      <c r="B18" s="3"/>
      <c r="C18" s="3"/>
      <c r="D18" s="25"/>
      <c r="E18" s="25"/>
      <c r="F18" s="25"/>
      <c r="G18" s="25"/>
      <c r="H18" s="115"/>
    </row>
    <row r="19" spans="1:9" ht="45" x14ac:dyDescent="0.25">
      <c r="A19" s="1" t="s">
        <v>393</v>
      </c>
      <c r="B19" s="1" t="s">
        <v>394</v>
      </c>
      <c r="C19" s="1" t="s">
        <v>395</v>
      </c>
      <c r="D19" s="114" t="s">
        <v>461</v>
      </c>
      <c r="E19" s="88"/>
      <c r="F19" s="144">
        <v>400000</v>
      </c>
      <c r="G19" s="84" t="s">
        <v>28</v>
      </c>
      <c r="H19" s="90"/>
      <c r="I19" s="85"/>
    </row>
    <row r="20" spans="1:9" x14ac:dyDescent="0.25">
      <c r="A20" s="1"/>
      <c r="D20" s="87"/>
      <c r="E20" s="88"/>
      <c r="F20" s="89"/>
      <c r="G20" s="84"/>
      <c r="H20" s="90"/>
      <c r="I20" s="85"/>
    </row>
    <row r="21" spans="1:9" ht="30" x14ac:dyDescent="0.25">
      <c r="A21" s="1" t="s">
        <v>393</v>
      </c>
      <c r="B21" s="1" t="s">
        <v>396</v>
      </c>
      <c r="C21" s="1" t="s">
        <v>397</v>
      </c>
      <c r="D21" s="91" t="s">
        <v>462</v>
      </c>
      <c r="E21" s="88"/>
      <c r="F21" s="93" t="s">
        <v>398</v>
      </c>
      <c r="G21" s="93" t="s">
        <v>398</v>
      </c>
      <c r="H21" s="90"/>
      <c r="I21" s="85"/>
    </row>
    <row r="22" spans="1:9" x14ac:dyDescent="0.25">
      <c r="A22" s="1"/>
      <c r="D22" s="92"/>
      <c r="E22" s="88"/>
      <c r="F22" s="93"/>
      <c r="G22" s="93"/>
      <c r="H22" s="90"/>
      <c r="I22" s="85"/>
    </row>
    <row r="23" spans="1:9" ht="30" x14ac:dyDescent="0.25">
      <c r="A23" s="1" t="s">
        <v>393</v>
      </c>
      <c r="B23" s="1" t="s">
        <v>421</v>
      </c>
      <c r="C23" s="1" t="s">
        <v>427</v>
      </c>
      <c r="D23" s="92"/>
      <c r="E23" s="88"/>
      <c r="F23" s="144">
        <v>150</v>
      </c>
      <c r="G23" s="93" t="s">
        <v>422</v>
      </c>
      <c r="H23" s="139" t="s">
        <v>423</v>
      </c>
      <c r="I23" s="85"/>
    </row>
    <row r="24" spans="1:9" ht="30" x14ac:dyDescent="0.25">
      <c r="A24" s="1" t="s">
        <v>393</v>
      </c>
      <c r="B24" s="1" t="s">
        <v>421</v>
      </c>
      <c r="C24" s="1" t="s">
        <v>427</v>
      </c>
      <c r="D24" s="92"/>
      <c r="E24" s="88"/>
      <c r="F24" s="144">
        <v>350</v>
      </c>
      <c r="G24" s="93" t="s">
        <v>422</v>
      </c>
      <c r="H24" s="139" t="s">
        <v>423</v>
      </c>
      <c r="I24" s="85"/>
    </row>
    <row r="25" spans="1:9" x14ac:dyDescent="0.25">
      <c r="A25" s="1"/>
      <c r="D25" s="92"/>
      <c r="E25" s="94"/>
      <c r="F25" s="92"/>
      <c r="G25" s="84"/>
      <c r="H25" s="90"/>
      <c r="I25" s="85"/>
    </row>
    <row r="26" spans="1:9" ht="45" x14ac:dyDescent="0.25">
      <c r="A26" s="1" t="s">
        <v>399</v>
      </c>
      <c r="B26" s="1" t="s">
        <v>400</v>
      </c>
      <c r="C26" s="1" t="s">
        <v>401</v>
      </c>
      <c r="D26" s="91" t="s">
        <v>463</v>
      </c>
      <c r="E26" s="95"/>
      <c r="F26" s="145">
        <v>250000</v>
      </c>
      <c r="G26" s="84" t="s">
        <v>195</v>
      </c>
      <c r="H26" s="96"/>
      <c r="I26" s="85"/>
    </row>
    <row r="27" spans="1:9" ht="45" x14ac:dyDescent="0.25">
      <c r="A27" s="1" t="s">
        <v>399</v>
      </c>
      <c r="B27" s="1" t="s">
        <v>400</v>
      </c>
      <c r="C27" s="1" t="s">
        <v>401</v>
      </c>
      <c r="D27" s="91" t="s">
        <v>464</v>
      </c>
      <c r="E27" s="95"/>
      <c r="F27" s="145">
        <v>150000</v>
      </c>
      <c r="G27" s="84" t="s">
        <v>195</v>
      </c>
      <c r="H27" s="96"/>
      <c r="I27" s="85"/>
    </row>
    <row r="28" spans="1:9" x14ac:dyDescent="0.25">
      <c r="A28" s="1"/>
      <c r="D28" s="92"/>
      <c r="E28" s="95"/>
      <c r="F28" s="92"/>
      <c r="G28" s="84"/>
      <c r="H28" s="96"/>
      <c r="I28" s="85"/>
    </row>
    <row r="29" spans="1:9" ht="45" x14ac:dyDescent="0.25">
      <c r="A29" s="1" t="s">
        <v>399</v>
      </c>
      <c r="B29" s="1" t="s">
        <v>424</v>
      </c>
      <c r="C29" s="1" t="s">
        <v>428</v>
      </c>
      <c r="D29" s="91" t="s">
        <v>465</v>
      </c>
      <c r="E29" s="95"/>
      <c r="F29" s="146">
        <v>35000</v>
      </c>
      <c r="G29" s="84" t="s">
        <v>195</v>
      </c>
      <c r="H29" s="96"/>
    </row>
    <row r="30" spans="1:9" ht="45" x14ac:dyDescent="0.25">
      <c r="A30" s="1" t="s">
        <v>399</v>
      </c>
      <c r="B30" s="1" t="s">
        <v>424</v>
      </c>
      <c r="C30" s="1" t="s">
        <v>428</v>
      </c>
      <c r="D30" s="91" t="s">
        <v>466</v>
      </c>
      <c r="E30" s="95"/>
      <c r="F30" s="146">
        <v>15000</v>
      </c>
      <c r="G30" s="84" t="s">
        <v>195</v>
      </c>
      <c r="H30" s="96"/>
    </row>
    <row r="31" spans="1:9" x14ac:dyDescent="0.25">
      <c r="A31" s="14"/>
      <c r="B31" s="14"/>
      <c r="C31" s="14"/>
      <c r="D31" s="92"/>
      <c r="E31" s="133"/>
      <c r="F31" s="92"/>
      <c r="G31" s="134"/>
      <c r="H31" s="135"/>
    </row>
    <row r="32" spans="1:9" ht="30" x14ac:dyDescent="0.25">
      <c r="A32" s="1" t="s">
        <v>402</v>
      </c>
      <c r="B32" s="1" t="s">
        <v>403</v>
      </c>
      <c r="C32" s="1" t="s">
        <v>437</v>
      </c>
      <c r="D32" s="91" t="s">
        <v>467</v>
      </c>
      <c r="E32" s="88"/>
      <c r="F32" s="145">
        <v>1</v>
      </c>
      <c r="G32" s="93" t="s">
        <v>398</v>
      </c>
      <c r="H32" s="90"/>
      <c r="I32" s="85"/>
    </row>
    <row r="33" spans="1:16" x14ac:dyDescent="0.25">
      <c r="A33" s="1"/>
      <c r="C33" s="18"/>
      <c r="D33" s="89"/>
      <c r="E33" s="88"/>
      <c r="F33" s="89"/>
      <c r="G33" s="84"/>
      <c r="H33" s="90"/>
      <c r="I33" s="85"/>
    </row>
    <row r="34" spans="1:16" ht="30" x14ac:dyDescent="0.25">
      <c r="A34" s="1" t="s">
        <v>402</v>
      </c>
      <c r="B34" s="1" t="s">
        <v>404</v>
      </c>
      <c r="C34" s="1" t="s">
        <v>405</v>
      </c>
      <c r="D34" s="89"/>
      <c r="E34" s="88"/>
      <c r="F34" s="145">
        <v>11</v>
      </c>
      <c r="G34" s="84" t="s">
        <v>406</v>
      </c>
      <c r="H34" s="96" t="s">
        <v>407</v>
      </c>
      <c r="I34" s="85"/>
    </row>
    <row r="35" spans="1:16" ht="30" x14ac:dyDescent="0.25">
      <c r="A35" s="1" t="s">
        <v>402</v>
      </c>
      <c r="B35" s="1" t="s">
        <v>404</v>
      </c>
      <c r="C35" s="1" t="s">
        <v>405</v>
      </c>
      <c r="D35" s="89"/>
      <c r="E35" s="88"/>
      <c r="F35" s="145">
        <v>3</v>
      </c>
      <c r="G35" s="84" t="s">
        <v>406</v>
      </c>
      <c r="H35" s="96" t="s">
        <v>407</v>
      </c>
      <c r="I35" s="85"/>
    </row>
    <row r="36" spans="1:16" x14ac:dyDescent="0.25">
      <c r="A36" s="1"/>
      <c r="D36" s="89"/>
      <c r="E36" s="88"/>
      <c r="F36" s="89"/>
      <c r="G36" s="84"/>
      <c r="H36" s="97"/>
      <c r="I36" s="85"/>
    </row>
    <row r="37" spans="1:16" ht="45" x14ac:dyDescent="0.25">
      <c r="A37" s="1" t="s">
        <v>416</v>
      </c>
      <c r="B37" s="1" t="s">
        <v>408</v>
      </c>
      <c r="C37" s="1" t="s">
        <v>409</v>
      </c>
      <c r="D37" s="91" t="s">
        <v>468</v>
      </c>
      <c r="E37" s="88"/>
      <c r="F37" s="145">
        <v>20</v>
      </c>
      <c r="G37" s="91" t="s">
        <v>29</v>
      </c>
      <c r="H37" s="97"/>
      <c r="I37" s="85"/>
    </row>
    <row r="38" spans="1:16" x14ac:dyDescent="0.25">
      <c r="A38" s="1"/>
      <c r="C38" s="18"/>
      <c r="D38" s="98"/>
      <c r="E38" s="88"/>
      <c r="F38" s="99"/>
      <c r="G38" s="100"/>
      <c r="H38" s="97"/>
      <c r="I38" s="85"/>
    </row>
    <row r="39" spans="1:16" customFormat="1" ht="30.75" customHeight="1" x14ac:dyDescent="0.25">
      <c r="A39" s="252" t="s">
        <v>574</v>
      </c>
      <c r="B39" s="253"/>
      <c r="C39" s="253"/>
      <c r="D39" s="253"/>
      <c r="E39" s="253"/>
      <c r="F39" s="253"/>
      <c r="G39" s="253"/>
      <c r="H39" s="254"/>
      <c r="I39" s="1"/>
      <c r="J39" s="1"/>
      <c r="K39" s="1"/>
      <c r="L39" s="1"/>
      <c r="M39" s="1"/>
      <c r="N39" s="1"/>
      <c r="O39" s="1"/>
      <c r="P39" s="1"/>
    </row>
    <row r="40" spans="1:16" customFormat="1" x14ac:dyDescent="0.25">
      <c r="A40" s="255"/>
      <c r="B40" s="256"/>
      <c r="C40" s="256"/>
      <c r="D40" s="256"/>
      <c r="E40" s="256"/>
      <c r="F40" s="256"/>
      <c r="G40" s="256"/>
      <c r="H40" s="257"/>
      <c r="I40" s="1"/>
      <c r="J40" s="1"/>
      <c r="K40" s="1"/>
      <c r="L40" s="1"/>
      <c r="M40" s="1"/>
      <c r="N40" s="1"/>
      <c r="O40" s="1"/>
      <c r="P40" s="1"/>
    </row>
    <row r="41" spans="1:16" customFormat="1" x14ac:dyDescent="0.25">
      <c r="A41" s="258"/>
      <c r="B41" s="259"/>
      <c r="C41" s="259"/>
      <c r="D41" s="259"/>
      <c r="E41" s="259"/>
      <c r="F41" s="259"/>
      <c r="G41" s="259"/>
      <c r="H41" s="260"/>
      <c r="I41" s="1"/>
      <c r="J41" s="1"/>
      <c r="K41" s="1"/>
      <c r="L41" s="1"/>
      <c r="M41" s="1"/>
      <c r="N41" s="1"/>
      <c r="O41" s="1"/>
      <c r="P41" s="1"/>
    </row>
    <row r="42" spans="1:16" customFormat="1" x14ac:dyDescent="0.25">
      <c r="A42" s="258"/>
      <c r="B42" s="259"/>
      <c r="C42" s="259"/>
      <c r="D42" s="259"/>
      <c r="E42" s="259"/>
      <c r="F42" s="259"/>
      <c r="G42" s="259"/>
      <c r="H42" s="260"/>
      <c r="I42" s="1"/>
      <c r="J42" s="1"/>
      <c r="K42" s="1"/>
      <c r="L42" s="1"/>
      <c r="M42" s="1"/>
      <c r="N42" s="1"/>
      <c r="O42" s="1"/>
      <c r="P42" s="1"/>
    </row>
    <row r="43" spans="1:16" customFormat="1" x14ac:dyDescent="0.25">
      <c r="A43" s="261"/>
      <c r="B43" s="262"/>
      <c r="C43" s="262"/>
      <c r="D43" s="262"/>
      <c r="E43" s="262"/>
      <c r="F43" s="262"/>
      <c r="G43" s="262"/>
      <c r="H43" s="263"/>
      <c r="I43" s="1"/>
      <c r="J43" s="1"/>
      <c r="K43" s="1"/>
      <c r="L43" s="1"/>
      <c r="M43" s="1"/>
      <c r="N43" s="1"/>
      <c r="O43" s="1"/>
      <c r="P43" s="1"/>
    </row>
    <row r="44" spans="1:16" x14ac:dyDescent="0.25">
      <c r="A44" s="1"/>
      <c r="C44" s="24"/>
      <c r="F44"/>
      <c r="G44"/>
      <c r="H44"/>
    </row>
    <row r="45" spans="1:16" x14ac:dyDescent="0.25">
      <c r="A45" s="6"/>
      <c r="B45" s="6"/>
      <c r="C45" s="44"/>
      <c r="D45" s="6"/>
      <c r="E45" s="6"/>
      <c r="F45" s="245"/>
      <c r="G45" s="245"/>
      <c r="H45" s="245"/>
      <c r="I45" s="6"/>
      <c r="J45" s="6"/>
      <c r="K45" s="6"/>
      <c r="L45" s="6"/>
      <c r="M45" s="6"/>
      <c r="N45" s="6"/>
      <c r="O45" s="6"/>
      <c r="P45" s="6"/>
    </row>
    <row r="46" spans="1:16" ht="21" x14ac:dyDescent="0.35">
      <c r="A46" s="4" t="s">
        <v>1</v>
      </c>
      <c r="C46" s="24"/>
      <c r="E46" s="34"/>
      <c r="F46" s="35"/>
    </row>
    <row r="47" spans="1:16" x14ac:dyDescent="0.25">
      <c r="A47" s="58" t="s">
        <v>99</v>
      </c>
      <c r="B47" s="22" t="s">
        <v>39</v>
      </c>
      <c r="C47" s="22"/>
      <c r="D47" s="23" t="s">
        <v>28</v>
      </c>
    </row>
    <row r="48" spans="1:16" x14ac:dyDescent="0.25">
      <c r="A48" s="49" t="s">
        <v>55</v>
      </c>
      <c r="B48" s="1" t="s">
        <v>101</v>
      </c>
      <c r="C48" s="1" t="s">
        <v>102</v>
      </c>
      <c r="D48" s="59">
        <v>370000</v>
      </c>
    </row>
    <row r="49" spans="1:16" x14ac:dyDescent="0.25">
      <c r="A49" s="49" t="s">
        <v>103</v>
      </c>
      <c r="B49" s="1" t="s">
        <v>104</v>
      </c>
      <c r="C49" s="1" t="s">
        <v>439</v>
      </c>
      <c r="D49" s="59">
        <v>50000</v>
      </c>
    </row>
    <row r="50" spans="1:16" x14ac:dyDescent="0.25">
      <c r="A50" s="49" t="s">
        <v>106</v>
      </c>
      <c r="B50" s="1" t="s">
        <v>105</v>
      </c>
      <c r="C50" s="1" t="s">
        <v>107</v>
      </c>
      <c r="D50" s="59">
        <v>20000</v>
      </c>
    </row>
    <row r="51" spans="1:16" x14ac:dyDescent="0.25">
      <c r="A51" s="49"/>
      <c r="D51" s="70" t="s">
        <v>195</v>
      </c>
    </row>
    <row r="52" spans="1:16" x14ac:dyDescent="0.25">
      <c r="A52" s="49" t="s">
        <v>108</v>
      </c>
      <c r="B52" s="1" t="s">
        <v>109</v>
      </c>
      <c r="C52" s="21" t="s">
        <v>591</v>
      </c>
      <c r="D52" s="59">
        <v>415000</v>
      </c>
    </row>
    <row r="53" spans="1:16" x14ac:dyDescent="0.25">
      <c r="A53" s="49"/>
      <c r="C53" s="21"/>
      <c r="D53" s="71" t="s">
        <v>196</v>
      </c>
    </row>
    <row r="54" spans="1:16" x14ac:dyDescent="0.25">
      <c r="A54" s="51" t="s">
        <v>111</v>
      </c>
      <c r="B54" s="2" t="s">
        <v>110</v>
      </c>
      <c r="C54" s="178" t="s">
        <v>592</v>
      </c>
      <c r="D54" s="60">
        <f>D49+D52</f>
        <v>465000</v>
      </c>
    </row>
    <row r="55" spans="1:16" x14ac:dyDescent="0.25">
      <c r="D55" s="12"/>
      <c r="E55" s="9"/>
    </row>
    <row r="56" spans="1:16" x14ac:dyDescent="0.25">
      <c r="A56" s="44"/>
      <c r="B56" s="6"/>
      <c r="C56" s="6"/>
      <c r="D56" s="10"/>
      <c r="E56" s="10"/>
      <c r="F56" s="11"/>
      <c r="G56" s="6"/>
      <c r="H56" s="6"/>
      <c r="I56" s="6"/>
      <c r="J56" s="6"/>
      <c r="K56" s="6"/>
      <c r="L56" s="6"/>
      <c r="M56" s="6"/>
      <c r="N56" s="6"/>
      <c r="O56" s="6"/>
      <c r="P56" s="6"/>
    </row>
    <row r="57" spans="1:16" ht="21.75" thickBot="1" x14ac:dyDescent="0.4">
      <c r="A57" s="4" t="s">
        <v>2</v>
      </c>
      <c r="E57" s="12"/>
      <c r="F57" s="9"/>
    </row>
    <row r="58" spans="1:16" ht="21" x14ac:dyDescent="0.35">
      <c r="A58" s="54" t="s">
        <v>99</v>
      </c>
      <c r="B58" s="27" t="s">
        <v>39</v>
      </c>
      <c r="C58" s="27" t="s">
        <v>40</v>
      </c>
      <c r="D58" s="64" t="s">
        <v>29</v>
      </c>
      <c r="F58" s="54" t="s">
        <v>99</v>
      </c>
      <c r="G58" s="27" t="s">
        <v>39</v>
      </c>
      <c r="H58" s="27" t="s">
        <v>40</v>
      </c>
      <c r="I58" s="64" t="s">
        <v>29</v>
      </c>
      <c r="K58" s="80" t="s">
        <v>67</v>
      </c>
      <c r="L58" s="117"/>
      <c r="M58" s="117"/>
      <c r="N58" s="117"/>
      <c r="O58" s="117"/>
      <c r="P58" s="154"/>
    </row>
    <row r="59" spans="1:16" ht="30" x14ac:dyDescent="0.25">
      <c r="A59" s="47"/>
      <c r="B59" s="19" t="s">
        <v>3</v>
      </c>
      <c r="C59" s="19" t="s">
        <v>4</v>
      </c>
      <c r="D59" s="118">
        <v>705</v>
      </c>
      <c r="F59" s="47" t="s">
        <v>44</v>
      </c>
      <c r="G59" s="19" t="s">
        <v>198</v>
      </c>
      <c r="H59" s="19" t="s">
        <v>377</v>
      </c>
      <c r="I59" s="48">
        <f>D75+$D$79*D65/$D$69</f>
        <v>113.75</v>
      </c>
      <c r="K59" s="279" t="s">
        <v>569</v>
      </c>
      <c r="L59" s="280"/>
      <c r="M59" s="280"/>
      <c r="N59" s="280"/>
      <c r="O59" s="280"/>
      <c r="P59" s="281"/>
    </row>
    <row r="60" spans="1:16" ht="30" x14ac:dyDescent="0.25">
      <c r="A60" s="49"/>
      <c r="B60" s="21" t="s">
        <v>538</v>
      </c>
      <c r="C60" s="21" t="s">
        <v>442</v>
      </c>
      <c r="D60" s="59">
        <v>800</v>
      </c>
      <c r="F60" s="49" t="s">
        <v>45</v>
      </c>
      <c r="G60" s="1" t="s">
        <v>199</v>
      </c>
      <c r="H60" s="1" t="s">
        <v>378</v>
      </c>
      <c r="I60" s="53">
        <f>D76+$D$79*D66/$D$69</f>
        <v>10.625</v>
      </c>
      <c r="K60" s="282" t="s">
        <v>570</v>
      </c>
      <c r="L60" s="277"/>
      <c r="M60" s="277"/>
      <c r="N60" s="277"/>
      <c r="O60" s="277"/>
      <c r="P60" s="278"/>
    </row>
    <row r="61" spans="1:16" ht="30" x14ac:dyDescent="0.25">
      <c r="A61" s="49"/>
      <c r="B61" s="21" t="s">
        <v>443</v>
      </c>
      <c r="C61" s="21" t="s">
        <v>444</v>
      </c>
      <c r="D61" s="59">
        <v>100</v>
      </c>
      <c r="F61" s="49" t="s">
        <v>46</v>
      </c>
      <c r="G61" s="1" t="s">
        <v>200</v>
      </c>
      <c r="H61" s="37" t="s">
        <v>379</v>
      </c>
      <c r="I61" s="53">
        <f>D77+$D$79*D67/$D$69</f>
        <v>3.125</v>
      </c>
      <c r="K61" s="179"/>
      <c r="L61" s="180"/>
      <c r="M61" s="181" t="s">
        <v>530</v>
      </c>
      <c r="N61" s="182" t="s">
        <v>530</v>
      </c>
      <c r="O61" s="181" t="s">
        <v>531</v>
      </c>
      <c r="P61" s="183" t="s">
        <v>531</v>
      </c>
    </row>
    <row r="62" spans="1:16" ht="30" x14ac:dyDescent="0.25">
      <c r="A62" s="49"/>
      <c r="B62" s="21" t="s">
        <v>563</v>
      </c>
      <c r="C62" s="21" t="s">
        <v>564</v>
      </c>
      <c r="D62" s="59">
        <v>0</v>
      </c>
      <c r="F62" s="51" t="s">
        <v>47</v>
      </c>
      <c r="G62" s="2" t="s">
        <v>113</v>
      </c>
      <c r="H62" s="38" t="s">
        <v>380</v>
      </c>
      <c r="I62" s="69">
        <f>D78+$D$79*D68/$D$69</f>
        <v>77.5</v>
      </c>
      <c r="K62" s="184" t="s">
        <v>507</v>
      </c>
      <c r="L62" s="155" t="s">
        <v>417</v>
      </c>
      <c r="M62" s="185" t="s">
        <v>99</v>
      </c>
      <c r="N62" s="160" t="s">
        <v>391</v>
      </c>
      <c r="O62" s="185" t="s">
        <v>99</v>
      </c>
      <c r="P62" s="186" t="s">
        <v>391</v>
      </c>
    </row>
    <row r="63" spans="1:16" ht="30" x14ac:dyDescent="0.25">
      <c r="A63" s="49"/>
      <c r="B63" s="21" t="s">
        <v>575</v>
      </c>
      <c r="C63" s="21" t="s">
        <v>576</v>
      </c>
      <c r="D63" s="123">
        <v>20</v>
      </c>
      <c r="K63" s="187" t="s">
        <v>518</v>
      </c>
      <c r="L63" s="156" t="s">
        <v>430</v>
      </c>
      <c r="M63" s="181" t="s">
        <v>124</v>
      </c>
      <c r="N63" s="188">
        <f>1000*D64/D54</f>
        <v>3.4086021505376345</v>
      </c>
      <c r="O63" s="181" t="s">
        <v>511</v>
      </c>
      <c r="P63" s="189">
        <f>1000*(D64-D71)/D54</f>
        <v>3.3655913978494625</v>
      </c>
    </row>
    <row r="64" spans="1:16" ht="30" x14ac:dyDescent="0.25">
      <c r="A64" s="51" t="s">
        <v>30</v>
      </c>
      <c r="B64" s="30" t="s">
        <v>229</v>
      </c>
      <c r="C64" s="30" t="s">
        <v>230</v>
      </c>
      <c r="D64" s="67">
        <f>D59+D60+D61-D62-D63</f>
        <v>1585</v>
      </c>
      <c r="F64" s="54" t="s">
        <v>99</v>
      </c>
      <c r="G64" s="27" t="s">
        <v>39</v>
      </c>
      <c r="H64" s="27" t="s">
        <v>40</v>
      </c>
      <c r="I64" s="64" t="s">
        <v>29</v>
      </c>
      <c r="K64" s="187" t="s">
        <v>519</v>
      </c>
      <c r="L64" s="156" t="s">
        <v>425</v>
      </c>
      <c r="M64" s="181" t="s">
        <v>125</v>
      </c>
      <c r="N64" s="190">
        <f>1000*I71/D48</f>
        <v>2.2257964693480918</v>
      </c>
      <c r="O64" s="181" t="s">
        <v>512</v>
      </c>
      <c r="P64" s="189">
        <f>1000*(D65+I59)/D48</f>
        <v>2.1993243243243241</v>
      </c>
    </row>
    <row r="65" spans="1:16" x14ac:dyDescent="0.25">
      <c r="A65" s="49"/>
      <c r="B65" s="1" t="s">
        <v>189</v>
      </c>
      <c r="C65" s="1" t="s">
        <v>295</v>
      </c>
      <c r="D65" s="59">
        <v>700</v>
      </c>
      <c r="F65" s="49" t="s">
        <v>48</v>
      </c>
      <c r="G65" s="1" t="s">
        <v>238</v>
      </c>
      <c r="H65" s="1" t="s">
        <v>114</v>
      </c>
      <c r="I65" s="53">
        <f>$D$71*I110/$D$100</f>
        <v>9.7946936587938787</v>
      </c>
      <c r="K65" s="187" t="s">
        <v>520</v>
      </c>
      <c r="L65" s="156" t="s">
        <v>425</v>
      </c>
      <c r="M65" s="181" t="s">
        <v>126</v>
      </c>
      <c r="N65" s="190">
        <f>IFERROR(1000*I72/D49,"-")</f>
        <v>1.2340855296789917</v>
      </c>
      <c r="O65" s="181" t="s">
        <v>513</v>
      </c>
      <c r="P65" s="189">
        <f>IFERROR(1000*(D66+I60)/D49,"-")</f>
        <v>1.2124999999999999</v>
      </c>
    </row>
    <row r="66" spans="1:16" ht="30" x14ac:dyDescent="0.25">
      <c r="A66" s="49"/>
      <c r="B66" s="1" t="s">
        <v>190</v>
      </c>
      <c r="C66" s="1" t="s">
        <v>297</v>
      </c>
      <c r="D66" s="59">
        <v>50</v>
      </c>
      <c r="F66" s="49" t="s">
        <v>49</v>
      </c>
      <c r="G66" s="1" t="s">
        <v>239</v>
      </c>
      <c r="H66" s="1" t="s">
        <v>20</v>
      </c>
      <c r="I66" s="53">
        <f>$D$71*I111/$D$100</f>
        <v>1.0792764839495785</v>
      </c>
      <c r="J66" s="40"/>
      <c r="K66" s="187" t="s">
        <v>521</v>
      </c>
      <c r="L66" s="156" t="s">
        <v>425</v>
      </c>
      <c r="M66" s="181" t="s">
        <v>163</v>
      </c>
      <c r="N66" s="188">
        <f>IFERROR(1000*(I71/D48+I72/D49),"-")</f>
        <v>3.459881999027083</v>
      </c>
      <c r="O66" s="181" t="s">
        <v>514</v>
      </c>
      <c r="P66" s="189">
        <f>IFERROR(P64+P65,"-")</f>
        <v>3.411824324324324</v>
      </c>
    </row>
    <row r="67" spans="1:16" x14ac:dyDescent="0.25">
      <c r="A67" s="49"/>
      <c r="B67" s="1" t="s">
        <v>197</v>
      </c>
      <c r="C67" s="1" t="s">
        <v>296</v>
      </c>
      <c r="D67" s="119">
        <v>10</v>
      </c>
      <c r="F67" s="49" t="s">
        <v>117</v>
      </c>
      <c r="G67" s="1" t="s">
        <v>240</v>
      </c>
      <c r="H67" s="1" t="s">
        <v>193</v>
      </c>
      <c r="I67" s="50">
        <f>$D$71*I112/$D$100</f>
        <v>7.7980292632977538E-2</v>
      </c>
      <c r="J67" s="40"/>
      <c r="K67" s="187" t="s">
        <v>522</v>
      </c>
      <c r="L67" s="157" t="s">
        <v>431</v>
      </c>
      <c r="M67" s="181" t="s">
        <v>241</v>
      </c>
      <c r="N67" s="190">
        <f>1000*I74/D52</f>
        <v>1.6543326495533097</v>
      </c>
      <c r="O67" s="181" t="s">
        <v>515</v>
      </c>
      <c r="P67" s="189">
        <f>1000*(D68+I62)/D52</f>
        <v>1.6325301204819278</v>
      </c>
    </row>
    <row r="68" spans="1:16" ht="15.75" x14ac:dyDescent="0.25">
      <c r="A68" s="49"/>
      <c r="B68" s="1" t="s">
        <v>112</v>
      </c>
      <c r="C68" s="1" t="s">
        <v>298</v>
      </c>
      <c r="D68" s="119">
        <v>600</v>
      </c>
      <c r="E68" s="13"/>
      <c r="F68" s="51" t="s">
        <v>118</v>
      </c>
      <c r="G68" s="2" t="s">
        <v>115</v>
      </c>
      <c r="H68" s="2" t="s">
        <v>116</v>
      </c>
      <c r="I68" s="52">
        <f>$D$71*I113/$D$100</f>
        <v>9.0480495646235664</v>
      </c>
      <c r="J68" s="41"/>
      <c r="K68" s="187" t="s">
        <v>523</v>
      </c>
      <c r="L68" s="157" t="s">
        <v>431</v>
      </c>
      <c r="M68" s="181" t="s">
        <v>242</v>
      </c>
      <c r="N68" s="190">
        <f>IFERROR(1000*(I73/D50+I74/D52),"-")</f>
        <v>2.3144816641849584</v>
      </c>
      <c r="O68" s="181" t="s">
        <v>516</v>
      </c>
      <c r="P68" s="189">
        <f>IFERROR(1000*((D67+I61)/D50+(D68+I62)/D52),"-")</f>
        <v>2.2887801204819276</v>
      </c>
    </row>
    <row r="69" spans="1:16" ht="16.5" thickBot="1" x14ac:dyDescent="0.3">
      <c r="A69" s="49" t="s">
        <v>31</v>
      </c>
      <c r="B69" s="29" t="s">
        <v>292</v>
      </c>
      <c r="C69" s="29" t="s">
        <v>231</v>
      </c>
      <c r="D69" s="66">
        <f>D65+D66+D67+D68</f>
        <v>1360</v>
      </c>
      <c r="E69" s="13"/>
      <c r="I69" s="39"/>
      <c r="J69" s="42"/>
      <c r="K69" s="191" t="s">
        <v>164</v>
      </c>
      <c r="L69" s="158" t="s">
        <v>398</v>
      </c>
      <c r="M69" s="192" t="s">
        <v>505</v>
      </c>
      <c r="N69" s="193">
        <f>(D60+D61)/D64</f>
        <v>0.56782334384858046</v>
      </c>
      <c r="O69" s="192" t="s">
        <v>517</v>
      </c>
      <c r="P69" s="194">
        <f>(D60+D61)/(D64-D71)</f>
        <v>0.57507987220447288</v>
      </c>
    </row>
    <row r="70" spans="1:16" ht="45" x14ac:dyDescent="0.25">
      <c r="A70" s="49"/>
      <c r="B70" s="33" t="s">
        <v>232</v>
      </c>
      <c r="C70" s="33" t="s">
        <v>233</v>
      </c>
      <c r="D70" s="59">
        <v>75</v>
      </c>
      <c r="E70" s="13"/>
      <c r="F70" s="54" t="s">
        <v>99</v>
      </c>
      <c r="G70" s="27" t="s">
        <v>39</v>
      </c>
      <c r="H70" s="27" t="s">
        <v>40</v>
      </c>
      <c r="I70" s="64" t="s">
        <v>29</v>
      </c>
      <c r="J70" s="41"/>
    </row>
    <row r="71" spans="1:16" ht="30" x14ac:dyDescent="0.25">
      <c r="A71" s="51"/>
      <c r="B71" s="73" t="s">
        <v>12</v>
      </c>
      <c r="C71" s="2" t="s">
        <v>27</v>
      </c>
      <c r="D71" s="120">
        <v>20</v>
      </c>
      <c r="E71" s="13"/>
      <c r="F71" s="49" t="s">
        <v>119</v>
      </c>
      <c r="G71" s="1" t="s">
        <v>221</v>
      </c>
      <c r="H71" s="1" t="s">
        <v>299</v>
      </c>
      <c r="I71" s="55">
        <f>D65+I59+I65</f>
        <v>823.5446936587939</v>
      </c>
      <c r="J71" s="41"/>
    </row>
    <row r="72" spans="1:16" ht="15.75" x14ac:dyDescent="0.25">
      <c r="A72" s="51" t="s">
        <v>37</v>
      </c>
      <c r="B72" s="30" t="s">
        <v>414</v>
      </c>
      <c r="C72" s="30" t="s">
        <v>415</v>
      </c>
      <c r="D72" s="67">
        <f>D69+D70+D71</f>
        <v>1455</v>
      </c>
      <c r="E72" s="13"/>
      <c r="F72" s="49" t="s">
        <v>120</v>
      </c>
      <c r="G72" s="1" t="s">
        <v>222</v>
      </c>
      <c r="H72" s="1" t="s">
        <v>300</v>
      </c>
      <c r="I72" s="55">
        <f>D66+I60+I66</f>
        <v>61.704276483949577</v>
      </c>
      <c r="J72" s="41"/>
    </row>
    <row r="73" spans="1:16" ht="30" x14ac:dyDescent="0.25">
      <c r="A73" s="121" t="s">
        <v>41</v>
      </c>
      <c r="B73" s="36" t="s">
        <v>234</v>
      </c>
      <c r="C73" s="36" t="s">
        <v>429</v>
      </c>
      <c r="D73" s="122">
        <f>D64-D72</f>
        <v>130</v>
      </c>
      <c r="E73" s="13"/>
      <c r="F73" s="49" t="s">
        <v>122</v>
      </c>
      <c r="G73" s="1" t="s">
        <v>220</v>
      </c>
      <c r="H73" s="1" t="s">
        <v>301</v>
      </c>
      <c r="I73" s="56">
        <f>D67+I61+I67</f>
        <v>13.202980292632978</v>
      </c>
      <c r="J73" s="41"/>
    </row>
    <row r="74" spans="1:16" ht="15.75" x14ac:dyDescent="0.25">
      <c r="A74" s="49" t="s">
        <v>42</v>
      </c>
      <c r="B74" s="29" t="s">
        <v>17</v>
      </c>
      <c r="C74" s="29" t="s">
        <v>237</v>
      </c>
      <c r="D74" s="66">
        <f>D70+D73</f>
        <v>205</v>
      </c>
      <c r="E74" s="13"/>
      <c r="F74" s="51" t="s">
        <v>123</v>
      </c>
      <c r="G74" s="2" t="s">
        <v>121</v>
      </c>
      <c r="H74" s="2" t="s">
        <v>302</v>
      </c>
      <c r="I74" s="57">
        <f>D68+I62+I68</f>
        <v>686.54804956462351</v>
      </c>
      <c r="J74" s="41"/>
    </row>
    <row r="75" spans="1:16" ht="30" x14ac:dyDescent="0.25">
      <c r="A75" s="49"/>
      <c r="B75" s="1" t="s">
        <v>212</v>
      </c>
      <c r="C75" s="1" t="s">
        <v>286</v>
      </c>
      <c r="D75" s="123">
        <v>35</v>
      </c>
      <c r="E75" s="13"/>
      <c r="J75" s="41"/>
    </row>
    <row r="76" spans="1:16" ht="30" x14ac:dyDescent="0.25">
      <c r="A76" s="49"/>
      <c r="B76" s="1" t="s">
        <v>213</v>
      </c>
      <c r="C76" s="1" t="s">
        <v>287</v>
      </c>
      <c r="D76" s="123">
        <v>5</v>
      </c>
    </row>
    <row r="77" spans="1:16" ht="30" x14ac:dyDescent="0.25">
      <c r="A77" s="49"/>
      <c r="B77" s="1" t="s">
        <v>214</v>
      </c>
      <c r="C77" s="1" t="s">
        <v>288</v>
      </c>
      <c r="D77" s="123">
        <v>2</v>
      </c>
    </row>
    <row r="78" spans="1:16" ht="30" x14ac:dyDescent="0.25">
      <c r="A78" s="49"/>
      <c r="B78" s="1" t="s">
        <v>219</v>
      </c>
      <c r="C78" s="1" t="s">
        <v>289</v>
      </c>
      <c r="D78" s="123">
        <v>10</v>
      </c>
      <c r="E78" s="14"/>
    </row>
    <row r="79" spans="1:16" ht="30" x14ac:dyDescent="0.25">
      <c r="A79" s="51" t="s">
        <v>43</v>
      </c>
      <c r="B79" s="30" t="s">
        <v>235</v>
      </c>
      <c r="C79" s="30" t="s">
        <v>236</v>
      </c>
      <c r="D79" s="60">
        <f>D74-D75-D76-D77-D78</f>
        <v>153</v>
      </c>
      <c r="E79" s="14"/>
    </row>
    <row r="80" spans="1:16" x14ac:dyDescent="0.25">
      <c r="D80" s="14"/>
      <c r="E80" s="14"/>
      <c r="F80" s="25"/>
      <c r="H80" s="3"/>
    </row>
    <row r="81" spans="1:16" x14ac:dyDescent="0.25">
      <c r="A81" s="44"/>
      <c r="B81" s="6"/>
      <c r="C81" s="6"/>
      <c r="D81" s="16"/>
      <c r="E81" s="17"/>
      <c r="F81" s="6"/>
      <c r="G81" s="6"/>
      <c r="H81" s="7"/>
      <c r="I81" s="7"/>
      <c r="J81" s="6"/>
      <c r="K81" s="6"/>
      <c r="L81" s="6"/>
      <c r="M81" s="6"/>
      <c r="N81" s="6"/>
      <c r="O81" s="6"/>
      <c r="P81" s="6"/>
    </row>
    <row r="82" spans="1:16" ht="32.25" thickBot="1" x14ac:dyDescent="0.4">
      <c r="A82" s="4" t="s">
        <v>5</v>
      </c>
      <c r="B82" s="21"/>
      <c r="C82" s="195" t="s">
        <v>457</v>
      </c>
    </row>
    <row r="83" spans="1:16" ht="21" x14ac:dyDescent="0.35">
      <c r="A83" s="54" t="s">
        <v>99</v>
      </c>
      <c r="B83" s="196" t="s">
        <v>39</v>
      </c>
      <c r="C83" s="196" t="s">
        <v>40</v>
      </c>
      <c r="D83" s="64" t="s">
        <v>29</v>
      </c>
      <c r="F83" s="54" t="s">
        <v>99</v>
      </c>
      <c r="G83" s="27" t="s">
        <v>39</v>
      </c>
      <c r="H83" s="27" t="s">
        <v>40</v>
      </c>
      <c r="I83" s="64" t="s">
        <v>29</v>
      </c>
      <c r="K83" s="80" t="s">
        <v>67</v>
      </c>
      <c r="L83" s="116"/>
      <c r="M83" s="81"/>
      <c r="N83" s="81"/>
      <c r="O83" s="159"/>
      <c r="P83" s="154"/>
    </row>
    <row r="84" spans="1:16" ht="30" x14ac:dyDescent="0.25">
      <c r="A84" s="47"/>
      <c r="B84" s="197" t="s">
        <v>6</v>
      </c>
      <c r="C84" s="197" t="s">
        <v>552</v>
      </c>
      <c r="D84" s="118">
        <v>5000</v>
      </c>
      <c r="F84" s="49"/>
      <c r="G84" s="33" t="s">
        <v>249</v>
      </c>
      <c r="H84" s="33" t="s">
        <v>593</v>
      </c>
      <c r="I84" s="59">
        <v>280</v>
      </c>
      <c r="K84" s="198" t="s">
        <v>594</v>
      </c>
      <c r="L84" s="21"/>
      <c r="M84" s="21"/>
      <c r="N84" s="21"/>
      <c r="O84" s="21"/>
      <c r="P84" s="199"/>
    </row>
    <row r="85" spans="1:16" ht="30" x14ac:dyDescent="0.25">
      <c r="A85" s="49"/>
      <c r="B85" s="21" t="s">
        <v>7</v>
      </c>
      <c r="C85" s="21" t="s">
        <v>553</v>
      </c>
      <c r="D85" s="59">
        <v>1000</v>
      </c>
      <c r="F85" s="49"/>
      <c r="G85" s="33" t="s">
        <v>248</v>
      </c>
      <c r="H85" s="33" t="s">
        <v>364</v>
      </c>
      <c r="I85" s="59">
        <v>0</v>
      </c>
      <c r="K85" s="200" t="s">
        <v>595</v>
      </c>
      <c r="L85" s="178"/>
      <c r="M85" s="178"/>
      <c r="N85" s="178"/>
      <c r="O85" s="178"/>
      <c r="P85" s="201"/>
    </row>
    <row r="86" spans="1:16" x14ac:dyDescent="0.25">
      <c r="A86" s="49"/>
      <c r="B86" s="21" t="s">
        <v>8</v>
      </c>
      <c r="C86" s="21" t="s">
        <v>9</v>
      </c>
      <c r="D86" s="59">
        <v>10</v>
      </c>
      <c r="F86" s="49"/>
      <c r="G86" s="33" t="s">
        <v>247</v>
      </c>
      <c r="H86" s="33" t="s">
        <v>365</v>
      </c>
      <c r="I86" s="59">
        <v>0</v>
      </c>
      <c r="K86" s="202"/>
      <c r="L86" s="203"/>
      <c r="M86" s="181" t="s">
        <v>530</v>
      </c>
      <c r="N86" s="182" t="s">
        <v>530</v>
      </c>
      <c r="O86" s="181" t="s">
        <v>531</v>
      </c>
      <c r="P86" s="204" t="s">
        <v>531</v>
      </c>
    </row>
    <row r="87" spans="1:16" x14ac:dyDescent="0.25">
      <c r="A87" s="49"/>
      <c r="B87" s="21" t="s">
        <v>369</v>
      </c>
      <c r="C87" s="21" t="s">
        <v>334</v>
      </c>
      <c r="D87" s="59">
        <v>20</v>
      </c>
      <c r="F87" s="49"/>
      <c r="G87" s="33" t="s">
        <v>250</v>
      </c>
      <c r="H87" s="33" t="s">
        <v>366</v>
      </c>
      <c r="I87" s="59">
        <v>0</v>
      </c>
      <c r="K87" s="205" t="s">
        <v>508</v>
      </c>
      <c r="L87" s="160" t="s">
        <v>417</v>
      </c>
      <c r="M87" s="185" t="s">
        <v>99</v>
      </c>
      <c r="N87" s="160"/>
      <c r="O87" s="185"/>
      <c r="P87" s="201"/>
    </row>
    <row r="88" spans="1:16" x14ac:dyDescent="0.25">
      <c r="A88" s="49"/>
      <c r="B88" s="21" t="s">
        <v>80</v>
      </c>
      <c r="C88" s="21" t="s">
        <v>333</v>
      </c>
      <c r="D88" s="59">
        <v>15</v>
      </c>
      <c r="F88" s="49"/>
      <c r="G88" s="33" t="s">
        <v>246</v>
      </c>
      <c r="H88" s="72" t="s">
        <v>367</v>
      </c>
      <c r="I88" s="59">
        <v>0</v>
      </c>
      <c r="K88" s="187" t="s">
        <v>518</v>
      </c>
      <c r="L88" s="161" t="s">
        <v>430</v>
      </c>
      <c r="M88" s="181" t="s">
        <v>136</v>
      </c>
      <c r="N88" s="188">
        <f>1000*D100/D54</f>
        <v>18.804301075268818</v>
      </c>
      <c r="O88" s="181" t="s">
        <v>387</v>
      </c>
      <c r="P88" s="206">
        <f>1000*(D100-(D90-D94))/D54</f>
        <v>12.460215053763442</v>
      </c>
    </row>
    <row r="89" spans="1:16" x14ac:dyDescent="0.25">
      <c r="A89" s="51" t="s">
        <v>32</v>
      </c>
      <c r="B89" s="31" t="s">
        <v>339</v>
      </c>
      <c r="C89" s="31" t="s">
        <v>335</v>
      </c>
      <c r="D89" s="67">
        <f>SUM(D84:D88)</f>
        <v>6045</v>
      </c>
      <c r="F89" s="49"/>
      <c r="G89" s="33" t="s">
        <v>245</v>
      </c>
      <c r="H89" s="72" t="s">
        <v>251</v>
      </c>
      <c r="I89" s="59">
        <v>20</v>
      </c>
      <c r="K89" s="187" t="s">
        <v>519</v>
      </c>
      <c r="L89" s="161" t="s">
        <v>425</v>
      </c>
      <c r="M89" s="181" t="s">
        <v>166</v>
      </c>
      <c r="N89" s="190">
        <f>1000*I110/D48</f>
        <v>11.573621804391037</v>
      </c>
      <c r="O89" s="181" t="s">
        <v>388</v>
      </c>
      <c r="P89" s="207">
        <f>1000*(I110-(D90-D94))/D48</f>
        <v>3.6006488314180634</v>
      </c>
    </row>
    <row r="90" spans="1:16" x14ac:dyDescent="0.25">
      <c r="A90" s="49"/>
      <c r="B90" s="153" t="s">
        <v>336</v>
      </c>
      <c r="C90" s="21" t="s">
        <v>597</v>
      </c>
      <c r="D90" s="59">
        <v>3000</v>
      </c>
      <c r="F90" s="49"/>
      <c r="G90" s="33" t="s">
        <v>255</v>
      </c>
      <c r="H90" s="72" t="s">
        <v>252</v>
      </c>
      <c r="I90" s="59">
        <v>10</v>
      </c>
      <c r="K90" s="187" t="s">
        <v>524</v>
      </c>
      <c r="L90" s="161" t="s">
        <v>425</v>
      </c>
      <c r="M90" s="181" t="s">
        <v>258</v>
      </c>
      <c r="N90" s="190">
        <f>IFERROR(1000*I111/D49,"-")</f>
        <v>9.4371935756551153</v>
      </c>
      <c r="O90" s="21"/>
      <c r="P90" s="199"/>
    </row>
    <row r="91" spans="1:16" x14ac:dyDescent="0.25">
      <c r="A91" s="51" t="s">
        <v>33</v>
      </c>
      <c r="B91" s="31" t="s">
        <v>337</v>
      </c>
      <c r="C91" s="31" t="s">
        <v>338</v>
      </c>
      <c r="D91" s="67">
        <f>D89+D90</f>
        <v>9045</v>
      </c>
      <c r="F91" s="49"/>
      <c r="G91" s="33" t="s">
        <v>244</v>
      </c>
      <c r="H91" s="72" t="s">
        <v>253</v>
      </c>
      <c r="I91" s="59">
        <v>170</v>
      </c>
      <c r="K91" s="187" t="s">
        <v>521</v>
      </c>
      <c r="L91" s="161" t="s">
        <v>425</v>
      </c>
      <c r="M91" s="181" t="s">
        <v>291</v>
      </c>
      <c r="N91" s="188">
        <f>IFERROR(1000*(I110/D48+I111/D49),"-")</f>
        <v>21.01081538004615</v>
      </c>
      <c r="O91" s="181" t="s">
        <v>504</v>
      </c>
      <c r="P91" s="206">
        <f>IFERROR(1000*((I110-(D90-D94))/D48+I111/D49),"-")</f>
        <v>13.037842407073178</v>
      </c>
    </row>
    <row r="92" spans="1:16" ht="30" x14ac:dyDescent="0.25">
      <c r="A92" s="49"/>
      <c r="B92" s="21" t="s">
        <v>10</v>
      </c>
      <c r="C92" s="21" t="s">
        <v>340</v>
      </c>
      <c r="D92" s="59">
        <v>20</v>
      </c>
      <c r="F92" s="51" t="s">
        <v>56</v>
      </c>
      <c r="G92" s="30" t="s">
        <v>257</v>
      </c>
      <c r="H92" s="30" t="s">
        <v>433</v>
      </c>
      <c r="I92" s="60">
        <f>SUM(I84:I87)-SUM(I88:I91)-D98-D99</f>
        <v>-30</v>
      </c>
      <c r="K92" s="187" t="s">
        <v>522</v>
      </c>
      <c r="L92" s="162" t="s">
        <v>431</v>
      </c>
      <c r="M92" s="181" t="s">
        <v>341</v>
      </c>
      <c r="N92" s="190">
        <f>1000*I113/D52</f>
        <v>9.5320657100082506</v>
      </c>
      <c r="O92" s="21"/>
      <c r="P92" s="199"/>
    </row>
    <row r="93" spans="1:16" ht="15.75" thickBot="1" x14ac:dyDescent="0.3">
      <c r="A93" s="49"/>
      <c r="B93" s="21" t="s">
        <v>578</v>
      </c>
      <c r="C93" s="21" t="s">
        <v>488</v>
      </c>
      <c r="D93" s="59">
        <v>160</v>
      </c>
      <c r="K93" s="208" t="s">
        <v>523</v>
      </c>
      <c r="L93" s="163" t="s">
        <v>431</v>
      </c>
      <c r="M93" s="192" t="s">
        <v>342</v>
      </c>
      <c r="N93" s="209">
        <f>IFERROR(1000*(I112/D50+I113/D52),"-")</f>
        <v>11.236714906965139</v>
      </c>
      <c r="O93" s="210"/>
      <c r="P93" s="211"/>
    </row>
    <row r="94" spans="1:16" ht="15.75" thickBot="1" x14ac:dyDescent="0.3">
      <c r="A94" s="49"/>
      <c r="B94" s="21" t="s">
        <v>577</v>
      </c>
      <c r="C94" s="21" t="s">
        <v>440</v>
      </c>
      <c r="D94" s="123">
        <v>50</v>
      </c>
      <c r="F94" s="54" t="s">
        <v>99</v>
      </c>
      <c r="G94" s="27" t="s">
        <v>39</v>
      </c>
      <c r="H94" s="27" t="s">
        <v>40</v>
      </c>
      <c r="I94" s="64" t="s">
        <v>29</v>
      </c>
      <c r="K94" s="21"/>
      <c r="L94" s="21"/>
      <c r="M94" s="21"/>
      <c r="N94" s="21"/>
      <c r="O94" s="21"/>
      <c r="P94" s="21"/>
    </row>
    <row r="95" spans="1:16" ht="31.5" x14ac:dyDescent="0.35">
      <c r="A95" s="219"/>
      <c r="B95" s="21" t="s">
        <v>167</v>
      </c>
      <c r="C95" s="21" t="s">
        <v>579</v>
      </c>
      <c r="D95" s="123">
        <v>1</v>
      </c>
      <c r="F95" s="47" t="s">
        <v>57</v>
      </c>
      <c r="G95" s="32" t="s">
        <v>18</v>
      </c>
      <c r="H95" s="74" t="s">
        <v>254</v>
      </c>
      <c r="I95" s="168">
        <f>D106+D107+D109+I92</f>
        <v>2909</v>
      </c>
      <c r="K95" s="212" t="s">
        <v>67</v>
      </c>
      <c r="L95" s="213"/>
      <c r="M95" s="213"/>
      <c r="N95" s="214"/>
      <c r="O95" s="21"/>
      <c r="P95" s="21"/>
    </row>
    <row r="96" spans="1:16" ht="30" x14ac:dyDescent="0.25">
      <c r="A96" s="51" t="s">
        <v>35</v>
      </c>
      <c r="B96" s="31" t="s">
        <v>25</v>
      </c>
      <c r="C96" s="31" t="s">
        <v>209</v>
      </c>
      <c r="D96" s="67">
        <f>D91+D92-D93-D94-D95</f>
        <v>8854</v>
      </c>
      <c r="F96" s="49"/>
      <c r="G96" s="1" t="s">
        <v>215</v>
      </c>
      <c r="H96" s="1" t="s">
        <v>372</v>
      </c>
      <c r="I96" s="59">
        <v>70</v>
      </c>
      <c r="K96" s="215" t="s">
        <v>533</v>
      </c>
      <c r="L96" s="165" t="s">
        <v>417</v>
      </c>
      <c r="M96" s="196" t="s">
        <v>99</v>
      </c>
      <c r="N96" s="216" t="s">
        <v>391</v>
      </c>
      <c r="O96" s="21"/>
      <c r="P96" s="21"/>
    </row>
    <row r="97" spans="1:16" ht="30" x14ac:dyDescent="0.25">
      <c r="A97" s="121"/>
      <c r="B97" s="248" t="s">
        <v>445</v>
      </c>
      <c r="C97" s="248" t="s">
        <v>446</v>
      </c>
      <c r="D97" s="249">
        <v>140</v>
      </c>
      <c r="F97" s="49"/>
      <c r="G97" s="1" t="s">
        <v>216</v>
      </c>
      <c r="H97" s="1" t="s">
        <v>373</v>
      </c>
      <c r="I97" s="59">
        <v>10</v>
      </c>
      <c r="K97" s="187" t="s">
        <v>596</v>
      </c>
      <c r="L97" s="156" t="s">
        <v>398</v>
      </c>
      <c r="M97" s="181" t="s">
        <v>385</v>
      </c>
      <c r="N97" s="217">
        <f>(D90-D94)/D100</f>
        <v>0.33737419945105213</v>
      </c>
      <c r="O97" s="21"/>
      <c r="P97" s="21"/>
    </row>
    <row r="98" spans="1:16" ht="30.75" thickBot="1" x14ac:dyDescent="0.3">
      <c r="A98" s="49"/>
      <c r="B98" s="21" t="s">
        <v>580</v>
      </c>
      <c r="C98" s="21" t="s">
        <v>368</v>
      </c>
      <c r="D98" s="59">
        <v>90</v>
      </c>
      <c r="F98" s="49"/>
      <c r="G98" s="1" t="s">
        <v>217</v>
      </c>
      <c r="H98" s="1" t="s">
        <v>374</v>
      </c>
      <c r="I98" s="59">
        <v>2</v>
      </c>
      <c r="K98" s="191" t="s">
        <v>532</v>
      </c>
      <c r="L98" s="166" t="s">
        <v>425</v>
      </c>
      <c r="M98" s="192" t="s">
        <v>386</v>
      </c>
      <c r="N98" s="218">
        <f>1000*D90/D48</f>
        <v>8.1081081081081088</v>
      </c>
      <c r="O98" s="21"/>
      <c r="P98" s="21"/>
    </row>
    <row r="99" spans="1:16" ht="30" x14ac:dyDescent="0.25">
      <c r="A99" s="219"/>
      <c r="B99" s="21" t="s">
        <v>243</v>
      </c>
      <c r="C99" s="21" t="s">
        <v>581</v>
      </c>
      <c r="D99" s="123">
        <v>20</v>
      </c>
      <c r="F99" s="49"/>
      <c r="G99" s="1" t="s">
        <v>218</v>
      </c>
      <c r="H99" s="1" t="s">
        <v>375</v>
      </c>
      <c r="I99" s="59">
        <v>30</v>
      </c>
    </row>
    <row r="100" spans="1:16" ht="30" x14ac:dyDescent="0.25">
      <c r="A100" s="51" t="s">
        <v>34</v>
      </c>
      <c r="B100" s="31" t="s">
        <v>26</v>
      </c>
      <c r="C100" s="31" t="s">
        <v>539</v>
      </c>
      <c r="D100" s="67">
        <f>D96-D98-D99</f>
        <v>8744</v>
      </c>
      <c r="F100" s="51" t="s">
        <v>58</v>
      </c>
      <c r="G100" s="30" t="s">
        <v>165</v>
      </c>
      <c r="H100" s="2" t="s">
        <v>303</v>
      </c>
      <c r="I100" s="60">
        <f>I95-I96-I97-I98-I99</f>
        <v>2797</v>
      </c>
    </row>
    <row r="101" spans="1:16" ht="30" x14ac:dyDescent="0.25">
      <c r="A101" s="49"/>
      <c r="B101" s="21" t="s">
        <v>202</v>
      </c>
      <c r="C101" s="21" t="s">
        <v>540</v>
      </c>
      <c r="D101" s="59">
        <v>3050</v>
      </c>
    </row>
    <row r="102" spans="1:16" ht="30" x14ac:dyDescent="0.25">
      <c r="A102" s="49"/>
      <c r="B102" s="21" t="s">
        <v>203</v>
      </c>
      <c r="C102" s="21" t="s">
        <v>541</v>
      </c>
      <c r="D102" s="59">
        <v>300</v>
      </c>
      <c r="F102" s="54" t="s">
        <v>99</v>
      </c>
      <c r="G102" s="27" t="s">
        <v>39</v>
      </c>
      <c r="H102" s="27" t="s">
        <v>40</v>
      </c>
      <c r="I102" s="64" t="s">
        <v>29</v>
      </c>
    </row>
    <row r="103" spans="1:16" ht="30" x14ac:dyDescent="0.25">
      <c r="A103" s="49"/>
      <c r="B103" s="21" t="s">
        <v>201</v>
      </c>
      <c r="C103" s="21" t="s">
        <v>542</v>
      </c>
      <c r="D103" s="123">
        <v>15</v>
      </c>
      <c r="F103" s="47" t="s">
        <v>59</v>
      </c>
      <c r="G103" s="19" t="s">
        <v>177</v>
      </c>
      <c r="H103" s="19" t="s">
        <v>381</v>
      </c>
      <c r="I103" s="61">
        <f>I96+$I$100*D101/$D$105</f>
        <v>1512.240067624683</v>
      </c>
    </row>
    <row r="104" spans="1:16" ht="30" x14ac:dyDescent="0.25">
      <c r="A104" s="49"/>
      <c r="B104" s="21" t="s">
        <v>127</v>
      </c>
      <c r="C104" s="21" t="s">
        <v>543</v>
      </c>
      <c r="D104" s="123">
        <v>2550</v>
      </c>
      <c r="F104" s="49" t="s">
        <v>81</v>
      </c>
      <c r="G104" s="1" t="s">
        <v>178</v>
      </c>
      <c r="H104" s="1" t="s">
        <v>382</v>
      </c>
      <c r="I104" s="55">
        <f>I97+$I$100*D102/$D$105</f>
        <v>151.85967878275571</v>
      </c>
    </row>
    <row r="105" spans="1:16" ht="30" x14ac:dyDescent="0.25">
      <c r="A105" s="51" t="s">
        <v>54</v>
      </c>
      <c r="B105" s="31" t="s">
        <v>293</v>
      </c>
      <c r="C105" s="31" t="s">
        <v>228</v>
      </c>
      <c r="D105" s="60">
        <f>D101+D102+D103+D104</f>
        <v>5915</v>
      </c>
      <c r="F105" s="49" t="s">
        <v>82</v>
      </c>
      <c r="G105" s="1" t="s">
        <v>204</v>
      </c>
      <c r="H105" s="1" t="s">
        <v>383</v>
      </c>
      <c r="I105" s="62">
        <f>I98+$I$100*D103/$D$105</f>
        <v>9.0929839391377847</v>
      </c>
      <c r="K105" s="41"/>
    </row>
    <row r="106" spans="1:16" ht="60" x14ac:dyDescent="0.25">
      <c r="A106" s="49"/>
      <c r="B106" s="21" t="s">
        <v>227</v>
      </c>
      <c r="C106" s="72" t="s">
        <v>370</v>
      </c>
      <c r="D106" s="59">
        <v>340</v>
      </c>
      <c r="F106" s="49" t="s">
        <v>129</v>
      </c>
      <c r="G106" s="1" t="s">
        <v>128</v>
      </c>
      <c r="H106" s="1" t="s">
        <v>384</v>
      </c>
      <c r="I106" s="56">
        <f>I99+$I$100*D104/$D$105</f>
        <v>1235.8072696534234</v>
      </c>
    </row>
    <row r="107" spans="1:16" x14ac:dyDescent="0.25">
      <c r="A107" s="49"/>
      <c r="B107" s="1" t="s">
        <v>376</v>
      </c>
      <c r="C107" s="21" t="s">
        <v>371</v>
      </c>
      <c r="D107" s="59">
        <v>40</v>
      </c>
      <c r="F107" s="20"/>
      <c r="G107" s="2"/>
      <c r="H107" s="43" t="s">
        <v>84</v>
      </c>
      <c r="I107" s="63">
        <f>I103+I104+I105+I106-I95</f>
        <v>0</v>
      </c>
    </row>
    <row r="108" spans="1:16" x14ac:dyDescent="0.25">
      <c r="A108" s="51" t="s">
        <v>52</v>
      </c>
      <c r="B108" s="31" t="s">
        <v>290</v>
      </c>
      <c r="C108" s="31" t="s">
        <v>294</v>
      </c>
      <c r="D108" s="60">
        <f>D105+D106+D107</f>
        <v>6295</v>
      </c>
    </row>
    <row r="109" spans="1:16" ht="30" x14ac:dyDescent="0.25">
      <c r="A109" s="51" t="s">
        <v>53</v>
      </c>
      <c r="B109" s="30" t="s">
        <v>256</v>
      </c>
      <c r="C109" s="30" t="s">
        <v>432</v>
      </c>
      <c r="D109" s="60">
        <f>D96-D108</f>
        <v>2559</v>
      </c>
      <c r="F109" s="54" t="s">
        <v>99</v>
      </c>
      <c r="G109" s="27" t="s">
        <v>39</v>
      </c>
      <c r="H109" s="27" t="s">
        <v>40</v>
      </c>
      <c r="I109" s="64" t="s">
        <v>29</v>
      </c>
    </row>
    <row r="110" spans="1:16" ht="15.75" x14ac:dyDescent="0.25">
      <c r="F110" s="49" t="s">
        <v>132</v>
      </c>
      <c r="G110" s="1" t="s">
        <v>175</v>
      </c>
      <c r="H110" s="1" t="s">
        <v>62</v>
      </c>
      <c r="I110" s="65">
        <f>D101+I103+I88-I84</f>
        <v>4282.2400676246834</v>
      </c>
      <c r="J110" s="75"/>
    </row>
    <row r="111" spans="1:16" x14ac:dyDescent="0.25">
      <c r="F111" s="49" t="s">
        <v>133</v>
      </c>
      <c r="G111" s="1" t="s">
        <v>176</v>
      </c>
      <c r="H111" s="1" t="s">
        <v>63</v>
      </c>
      <c r="I111" s="55">
        <f>D102+I104+I89-I85</f>
        <v>471.85967878275574</v>
      </c>
    </row>
    <row r="112" spans="1:16" x14ac:dyDescent="0.25">
      <c r="F112" s="49" t="s">
        <v>134</v>
      </c>
      <c r="G112" s="1" t="s">
        <v>413</v>
      </c>
      <c r="H112" s="1" t="s">
        <v>194</v>
      </c>
      <c r="I112" s="66">
        <f>D103+I105+I90-I86</f>
        <v>34.092983939137781</v>
      </c>
    </row>
    <row r="113" spans="1:16" x14ac:dyDescent="0.25">
      <c r="F113" s="51" t="s">
        <v>135</v>
      </c>
      <c r="G113" s="2" t="s">
        <v>130</v>
      </c>
      <c r="H113" s="2" t="s">
        <v>131</v>
      </c>
      <c r="I113" s="67">
        <f>D104+I106+I91-I87</f>
        <v>3955.8072696534236</v>
      </c>
    </row>
    <row r="114" spans="1:16" x14ac:dyDescent="0.25">
      <c r="F114" s="24"/>
    </row>
    <row r="115" spans="1:16" x14ac:dyDescent="0.25">
      <c r="F115" s="24"/>
    </row>
    <row r="116" spans="1:16" x14ac:dyDescent="0.25">
      <c r="C116" s="29"/>
      <c r="D116" s="15"/>
    </row>
    <row r="117" spans="1:16" x14ac:dyDescent="0.25">
      <c r="A117" s="44"/>
      <c r="B117" s="6"/>
      <c r="C117" s="6"/>
      <c r="D117" s="6"/>
      <c r="E117" s="6"/>
      <c r="F117" s="6"/>
      <c r="G117" s="6"/>
      <c r="H117" s="6"/>
      <c r="I117" s="6"/>
      <c r="J117" s="6"/>
      <c r="K117" s="6"/>
      <c r="L117" s="6"/>
      <c r="M117" s="6"/>
      <c r="N117" s="6"/>
      <c r="O117" s="6"/>
      <c r="P117" s="6"/>
    </row>
    <row r="118" spans="1:16" ht="21.75" thickBot="1" x14ac:dyDescent="0.4">
      <c r="A118" s="5" t="s">
        <v>205</v>
      </c>
      <c r="C118" s="8"/>
      <c r="D118" s="2"/>
      <c r="E118" s="18"/>
    </row>
    <row r="119" spans="1:16" ht="21" x14ac:dyDescent="0.35">
      <c r="A119" s="54" t="s">
        <v>99</v>
      </c>
      <c r="B119" s="27" t="s">
        <v>39</v>
      </c>
      <c r="C119" s="27" t="s">
        <v>40</v>
      </c>
      <c r="D119" s="64" t="s">
        <v>29</v>
      </c>
      <c r="E119" s="18"/>
      <c r="F119" s="54" t="s">
        <v>99</v>
      </c>
      <c r="G119" s="27" t="s">
        <v>39</v>
      </c>
      <c r="H119" s="27" t="s">
        <v>40</v>
      </c>
      <c r="I119" s="64" t="s">
        <v>29</v>
      </c>
      <c r="K119" s="80" t="s">
        <v>67</v>
      </c>
      <c r="L119" s="117"/>
      <c r="M119" s="117"/>
      <c r="N119" s="117"/>
      <c r="O119" s="117"/>
      <c r="P119" s="154"/>
    </row>
    <row r="120" spans="1:16" ht="15.75" x14ac:dyDescent="0.25">
      <c r="A120" s="124"/>
      <c r="B120" s="3"/>
      <c r="C120" s="28" t="s">
        <v>438</v>
      </c>
      <c r="D120" s="115"/>
      <c r="E120" s="18"/>
      <c r="F120" s="221"/>
      <c r="G120" s="197"/>
      <c r="H120" s="82" t="s">
        <v>528</v>
      </c>
      <c r="I120" s="127"/>
      <c r="K120" s="273" t="s">
        <v>568</v>
      </c>
      <c r="L120" s="274"/>
      <c r="M120" s="274"/>
      <c r="N120" s="274"/>
      <c r="O120" s="274"/>
      <c r="P120" s="275"/>
    </row>
    <row r="121" spans="1:16" ht="30" x14ac:dyDescent="0.25">
      <c r="A121" s="49"/>
      <c r="B121" s="1" t="s">
        <v>435</v>
      </c>
      <c r="C121" s="1" t="s">
        <v>434</v>
      </c>
      <c r="D121" s="123">
        <v>2895</v>
      </c>
      <c r="F121" s="220"/>
      <c r="G121" s="178" t="s">
        <v>560</v>
      </c>
      <c r="H121" s="178" t="s">
        <v>529</v>
      </c>
      <c r="I121" s="120">
        <v>0</v>
      </c>
      <c r="K121" s="276" t="s">
        <v>565</v>
      </c>
      <c r="L121" s="277"/>
      <c r="M121" s="277"/>
      <c r="N121" s="277"/>
      <c r="O121" s="277"/>
      <c r="P121" s="278"/>
    </row>
    <row r="122" spans="1:16" x14ac:dyDescent="0.25">
      <c r="A122" s="49"/>
      <c r="B122" s="1" t="s">
        <v>359</v>
      </c>
      <c r="C122" s="1" t="s">
        <v>360</v>
      </c>
      <c r="D122" s="123">
        <v>230</v>
      </c>
      <c r="F122" s="21"/>
      <c r="G122" s="21"/>
      <c r="H122" s="21"/>
      <c r="K122" s="202"/>
      <c r="L122" s="203"/>
      <c r="M122" s="181" t="s">
        <v>530</v>
      </c>
      <c r="N122" s="182" t="s">
        <v>530</v>
      </c>
      <c r="O122" s="181" t="s">
        <v>531</v>
      </c>
      <c r="P122" s="183" t="s">
        <v>531</v>
      </c>
    </row>
    <row r="123" spans="1:16" ht="15.75" x14ac:dyDescent="0.25">
      <c r="A123" s="49"/>
      <c r="B123" s="1" t="s">
        <v>11</v>
      </c>
      <c r="C123" s="1" t="s">
        <v>268</v>
      </c>
      <c r="D123" s="123">
        <v>10</v>
      </c>
      <c r="E123" s="13"/>
      <c r="F123" s="222" t="s">
        <v>99</v>
      </c>
      <c r="G123" s="196" t="s">
        <v>39</v>
      </c>
      <c r="H123" s="196" t="s">
        <v>40</v>
      </c>
      <c r="I123" s="64" t="s">
        <v>29</v>
      </c>
      <c r="J123" s="141"/>
      <c r="K123" s="205" t="s">
        <v>509</v>
      </c>
      <c r="L123" s="164" t="s">
        <v>417</v>
      </c>
      <c r="M123" s="185" t="s">
        <v>99</v>
      </c>
      <c r="N123" s="164" t="s">
        <v>391</v>
      </c>
      <c r="O123" s="185" t="s">
        <v>99</v>
      </c>
      <c r="P123" s="229" t="s">
        <v>391</v>
      </c>
    </row>
    <row r="124" spans="1:16" ht="30" x14ac:dyDescent="0.25">
      <c r="A124" s="49" t="s">
        <v>60</v>
      </c>
      <c r="B124" s="29" t="s">
        <v>270</v>
      </c>
      <c r="C124" s="29" t="s">
        <v>266</v>
      </c>
      <c r="D124" s="78">
        <f>D121+D122-D123</f>
        <v>3115</v>
      </c>
      <c r="F124" s="220" t="s">
        <v>68</v>
      </c>
      <c r="G124" s="223" t="s">
        <v>352</v>
      </c>
      <c r="H124" s="224" t="s">
        <v>262</v>
      </c>
      <c r="I124" s="67">
        <f>D138+D145+D155-I121</f>
        <v>3005.882352941177</v>
      </c>
      <c r="K124" s="187" t="s">
        <v>525</v>
      </c>
      <c r="L124" s="161" t="s">
        <v>430</v>
      </c>
      <c r="M124" s="181" t="s">
        <v>479</v>
      </c>
      <c r="N124" s="230">
        <f>1000*I124/D54</f>
        <v>6.4642631246046811</v>
      </c>
      <c r="O124" s="181" t="s">
        <v>485</v>
      </c>
      <c r="P124" s="231">
        <f>1000*I140/D54</f>
        <v>0.58064516129032262</v>
      </c>
    </row>
    <row r="125" spans="1:16" x14ac:dyDescent="0.25">
      <c r="A125" s="49"/>
      <c r="C125" s="29" t="s">
        <v>441</v>
      </c>
      <c r="D125" s="125">
        <f>D124-D127-D140</f>
        <v>0</v>
      </c>
      <c r="F125" s="225"/>
      <c r="G125" s="31"/>
      <c r="H125" s="31"/>
      <c r="K125" s="187" t="s">
        <v>519</v>
      </c>
      <c r="L125" s="161" t="s">
        <v>425</v>
      </c>
      <c r="M125" s="181" t="s">
        <v>480</v>
      </c>
      <c r="N125" s="232">
        <f>1000*I133/D48</f>
        <v>1.9353338919551129</v>
      </c>
      <c r="O125" s="181" t="s">
        <v>486</v>
      </c>
      <c r="P125" s="233">
        <f>1000*I141/D48</f>
        <v>0.23513513513513515</v>
      </c>
    </row>
    <row r="126" spans="1:16" x14ac:dyDescent="0.25">
      <c r="A126" s="58"/>
      <c r="B126" s="22"/>
      <c r="C126" s="28" t="s">
        <v>353</v>
      </c>
      <c r="D126" s="23"/>
      <c r="F126" s="222" t="s">
        <v>99</v>
      </c>
      <c r="G126" s="196" t="s">
        <v>39</v>
      </c>
      <c r="H126" s="196" t="s">
        <v>40</v>
      </c>
      <c r="I126" s="64" t="s">
        <v>29</v>
      </c>
      <c r="K126" s="187" t="s">
        <v>524</v>
      </c>
      <c r="L126" s="161" t="s">
        <v>425</v>
      </c>
      <c r="M126" s="181" t="s">
        <v>481</v>
      </c>
      <c r="N126" s="232">
        <f>IFERROR(1000*I134/D49,"0")</f>
        <v>5.8561704116197237</v>
      </c>
      <c r="O126" s="181" t="s">
        <v>487</v>
      </c>
      <c r="P126" s="234">
        <f>IFERROR(1000*I142/D49,"-")</f>
        <v>1.4</v>
      </c>
    </row>
    <row r="127" spans="1:16" ht="30" x14ac:dyDescent="0.25">
      <c r="A127" s="219"/>
      <c r="B127" s="21" t="s">
        <v>354</v>
      </c>
      <c r="C127" s="21" t="s">
        <v>458</v>
      </c>
      <c r="D127" s="123">
        <v>3020</v>
      </c>
      <c r="F127" s="219" t="s">
        <v>85</v>
      </c>
      <c r="G127" s="72" t="s">
        <v>311</v>
      </c>
      <c r="H127" s="72" t="s">
        <v>21</v>
      </c>
      <c r="I127" s="78">
        <f>$D$138*(I110-($D$90-$D$94))/($D$100-($D$90-$D$94))</f>
        <v>629.07354002339173</v>
      </c>
      <c r="K127" s="187" t="s">
        <v>521</v>
      </c>
      <c r="L127" s="161" t="s">
        <v>425</v>
      </c>
      <c r="M127" s="181" t="s">
        <v>482</v>
      </c>
      <c r="N127" s="232">
        <f>IFERROR(1000*(I133/D48+I134/D49),"-")</f>
        <v>7.7915043035748361</v>
      </c>
      <c r="O127" s="181" t="s">
        <v>490</v>
      </c>
      <c r="P127" s="233">
        <f>IFERROR(1000*(I141/D48+I142/D49),"-")</f>
        <v>1.6351351351351351</v>
      </c>
    </row>
    <row r="128" spans="1:16" ht="30" x14ac:dyDescent="0.25">
      <c r="A128" s="219"/>
      <c r="B128" s="21" t="s">
        <v>355</v>
      </c>
      <c r="C128" s="21" t="s">
        <v>356</v>
      </c>
      <c r="D128" s="123">
        <v>0</v>
      </c>
      <c r="F128" s="219" t="s">
        <v>86</v>
      </c>
      <c r="G128" s="72" t="s">
        <v>312</v>
      </c>
      <c r="H128" s="72" t="s">
        <v>22</v>
      </c>
      <c r="I128" s="78">
        <f>$D$138*I111/($D$100-($D$90-$D$94))</f>
        <v>222.80852058098614</v>
      </c>
      <c r="K128" s="187" t="s">
        <v>523</v>
      </c>
      <c r="L128" s="162" t="s">
        <v>431</v>
      </c>
      <c r="M128" s="181" t="s">
        <v>483</v>
      </c>
      <c r="N128" s="230">
        <f>IFERROR(1000*(I135/D50+I136/D52),"-")</f>
        <v>5.6257700978094283</v>
      </c>
      <c r="O128" s="181" t="s">
        <v>491</v>
      </c>
      <c r="P128" s="231">
        <f>IFERROR(1000*(I143/D50+I144/D52),"-")</f>
        <v>0.3198795180722892</v>
      </c>
    </row>
    <row r="129" spans="1:16" ht="30.75" thickBot="1" x14ac:dyDescent="0.3">
      <c r="A129" s="219"/>
      <c r="B129" s="21" t="s">
        <v>357</v>
      </c>
      <c r="C129" s="21" t="s">
        <v>358</v>
      </c>
      <c r="D129" s="123">
        <v>0</v>
      </c>
      <c r="F129" s="219" t="s">
        <v>87</v>
      </c>
      <c r="G129" s="72" t="s">
        <v>313</v>
      </c>
      <c r="H129" s="72" t="s">
        <v>223</v>
      </c>
      <c r="I129" s="237">
        <f>$D$138*I112/($D$100-($D$90-$D$94))</f>
        <v>16.098445481220924</v>
      </c>
      <c r="K129" s="191" t="s">
        <v>522</v>
      </c>
      <c r="L129" s="163" t="s">
        <v>431</v>
      </c>
      <c r="M129" s="192" t="s">
        <v>484</v>
      </c>
      <c r="N129" s="235">
        <f>1000*I136/D52</f>
        <v>4.7708478237483822</v>
      </c>
      <c r="O129" s="192" t="s">
        <v>585</v>
      </c>
      <c r="P129" s="236">
        <f>1000*I144/D52</f>
        <v>0.26987951807228916</v>
      </c>
    </row>
    <row r="130" spans="1:16" ht="30" x14ac:dyDescent="0.25">
      <c r="A130" s="219"/>
      <c r="B130" s="21" t="s">
        <v>306</v>
      </c>
      <c r="C130" s="21" t="s">
        <v>83</v>
      </c>
      <c r="D130" s="123">
        <v>50</v>
      </c>
      <c r="F130" s="220" t="s">
        <v>88</v>
      </c>
      <c r="G130" s="223" t="s">
        <v>314</v>
      </c>
      <c r="H130" s="223" t="s">
        <v>141</v>
      </c>
      <c r="I130" s="60">
        <f>$D$138*I113/($D$100-($D$90-$D$94))</f>
        <v>1867.9018468555785</v>
      </c>
    </row>
    <row r="131" spans="1:16" x14ac:dyDescent="0.25">
      <c r="A131" s="219"/>
      <c r="B131" s="21" t="s">
        <v>307</v>
      </c>
      <c r="C131" s="21" t="s">
        <v>436</v>
      </c>
      <c r="D131" s="123">
        <v>20</v>
      </c>
      <c r="F131" s="21"/>
      <c r="G131" s="21"/>
      <c r="H131" s="21"/>
    </row>
    <row r="132" spans="1:16" x14ac:dyDescent="0.25">
      <c r="A132" s="220" t="s">
        <v>61</v>
      </c>
      <c r="B132" s="31" t="s">
        <v>308</v>
      </c>
      <c r="C132" s="31" t="s">
        <v>322</v>
      </c>
      <c r="D132" s="60">
        <f>SUM(D127:D131)</f>
        <v>3090</v>
      </c>
      <c r="F132" s="222" t="s">
        <v>99</v>
      </c>
      <c r="G132" s="196" t="s">
        <v>39</v>
      </c>
      <c r="H132" s="196" t="s">
        <v>40</v>
      </c>
      <c r="I132" s="64" t="s">
        <v>29</v>
      </c>
      <c r="J132" s="15"/>
    </row>
    <row r="133" spans="1:16" ht="60" x14ac:dyDescent="0.25">
      <c r="A133" s="219"/>
      <c r="B133" s="21" t="s">
        <v>259</v>
      </c>
      <c r="C133" s="21" t="s">
        <v>582</v>
      </c>
      <c r="D133" s="239">
        <v>0.85</v>
      </c>
      <c r="F133" s="221" t="s">
        <v>146</v>
      </c>
      <c r="G133" s="226" t="s">
        <v>183</v>
      </c>
      <c r="H133" s="226" t="s">
        <v>94</v>
      </c>
      <c r="I133" s="68">
        <f>I127+D156-I121</f>
        <v>716.07354002339173</v>
      </c>
    </row>
    <row r="134" spans="1:16" ht="30" x14ac:dyDescent="0.25">
      <c r="A134" s="219" t="s">
        <v>139</v>
      </c>
      <c r="B134" s="76" t="s">
        <v>583</v>
      </c>
      <c r="C134" s="76" t="s">
        <v>448</v>
      </c>
      <c r="D134" s="78">
        <f>IFERROR(D93/D133,"0")</f>
        <v>188.23529411764707</v>
      </c>
      <c r="F134" s="219" t="s">
        <v>147</v>
      </c>
      <c r="G134" s="72" t="s">
        <v>184</v>
      </c>
      <c r="H134" s="72" t="s">
        <v>95</v>
      </c>
      <c r="I134" s="55">
        <f>I128+D146+D157</f>
        <v>292.80852058098617</v>
      </c>
    </row>
    <row r="135" spans="1:16" ht="30" x14ac:dyDescent="0.25">
      <c r="A135" s="220" t="s">
        <v>140</v>
      </c>
      <c r="B135" s="31" t="s">
        <v>447</v>
      </c>
      <c r="C135" s="31" t="s">
        <v>584</v>
      </c>
      <c r="D135" s="131">
        <f>IFERROR(D95/D133,"0")</f>
        <v>1.1764705882352942</v>
      </c>
      <c r="F135" s="219" t="s">
        <v>148</v>
      </c>
      <c r="G135" s="72" t="s">
        <v>326</v>
      </c>
      <c r="H135" s="72" t="s">
        <v>224</v>
      </c>
      <c r="I135" s="66">
        <f>I129+D158</f>
        <v>17.098445481220924</v>
      </c>
    </row>
    <row r="136" spans="1:16" ht="30" x14ac:dyDescent="0.25">
      <c r="A136" s="21"/>
      <c r="B136" s="21" t="s">
        <v>449</v>
      </c>
      <c r="C136" s="21" t="s">
        <v>489</v>
      </c>
      <c r="D136" s="239">
        <v>0.85</v>
      </c>
      <c r="F136" s="220" t="s">
        <v>149</v>
      </c>
      <c r="G136" s="223" t="s">
        <v>144</v>
      </c>
      <c r="H136" s="223" t="s">
        <v>145</v>
      </c>
      <c r="I136" s="67">
        <f>I130+D147+D159</f>
        <v>1979.9018468555785</v>
      </c>
      <c r="J136" s="14"/>
    </row>
    <row r="137" spans="1:16" x14ac:dyDescent="0.25">
      <c r="A137" s="220" t="s">
        <v>142</v>
      </c>
      <c r="B137" s="31" t="s">
        <v>561</v>
      </c>
      <c r="C137" s="31" t="s">
        <v>450</v>
      </c>
      <c r="D137" s="60">
        <f>IFERROR(D97/D136,"0")</f>
        <v>164.70588235294119</v>
      </c>
      <c r="F137" s="21"/>
      <c r="G137" s="21"/>
      <c r="H137" s="21"/>
      <c r="J137" s="14"/>
    </row>
    <row r="138" spans="1:16" x14ac:dyDescent="0.25">
      <c r="A138" s="219" t="s">
        <v>64</v>
      </c>
      <c r="B138" s="76" t="s">
        <v>305</v>
      </c>
      <c r="C138" s="76" t="s">
        <v>323</v>
      </c>
      <c r="D138" s="79">
        <f>D132-D134-D135-D137</f>
        <v>2735.882352941177</v>
      </c>
      <c r="F138" s="283" t="s">
        <v>566</v>
      </c>
      <c r="G138" s="284"/>
      <c r="H138" s="284"/>
      <c r="I138" s="285"/>
      <c r="J138" s="150"/>
    </row>
    <row r="139" spans="1:16" x14ac:dyDescent="0.25">
      <c r="A139" s="221"/>
      <c r="B139" s="197"/>
      <c r="C139" s="82" t="s">
        <v>90</v>
      </c>
      <c r="D139" s="127"/>
      <c r="F139" s="222" t="s">
        <v>99</v>
      </c>
      <c r="G139" s="196" t="s">
        <v>39</v>
      </c>
      <c r="H139" s="196" t="s">
        <v>40</v>
      </c>
      <c r="I139" s="64" t="s">
        <v>29</v>
      </c>
      <c r="J139" s="14"/>
    </row>
    <row r="140" spans="1:16" x14ac:dyDescent="0.25">
      <c r="A140" s="219"/>
      <c r="B140" s="21" t="s">
        <v>361</v>
      </c>
      <c r="C140" s="21" t="s">
        <v>544</v>
      </c>
      <c r="D140" s="123">
        <v>95</v>
      </c>
      <c r="F140" s="220" t="s">
        <v>179</v>
      </c>
      <c r="G140" s="223" t="s">
        <v>472</v>
      </c>
      <c r="H140" s="223" t="s">
        <v>262</v>
      </c>
      <c r="I140" s="131">
        <f>D145+D155</f>
        <v>270</v>
      </c>
      <c r="J140" s="150"/>
    </row>
    <row r="141" spans="1:16" x14ac:dyDescent="0.25">
      <c r="A141" s="219"/>
      <c r="B141" s="21" t="s">
        <v>362</v>
      </c>
      <c r="C141" s="21" t="s">
        <v>356</v>
      </c>
      <c r="D141" s="123">
        <v>5</v>
      </c>
      <c r="F141" s="221" t="s">
        <v>180</v>
      </c>
      <c r="G141" s="226" t="s">
        <v>473</v>
      </c>
      <c r="H141" s="226" t="s">
        <v>94</v>
      </c>
      <c r="I141" s="168">
        <f>D156</f>
        <v>87</v>
      </c>
    </row>
    <row r="142" spans="1:16" x14ac:dyDescent="0.25">
      <c r="A142" s="219"/>
      <c r="B142" s="21" t="s">
        <v>363</v>
      </c>
      <c r="C142" s="21" t="s">
        <v>358</v>
      </c>
      <c r="D142" s="123">
        <v>0</v>
      </c>
      <c r="F142" s="219" t="s">
        <v>181</v>
      </c>
      <c r="G142" s="72" t="s">
        <v>474</v>
      </c>
      <c r="H142" s="72" t="s">
        <v>95</v>
      </c>
      <c r="I142" s="238">
        <f>D146+D157</f>
        <v>70</v>
      </c>
    </row>
    <row r="143" spans="1:16" x14ac:dyDescent="0.25">
      <c r="A143" s="219"/>
      <c r="B143" s="21" t="s">
        <v>264</v>
      </c>
      <c r="C143" s="21" t="s">
        <v>83</v>
      </c>
      <c r="D143" s="123">
        <v>50</v>
      </c>
      <c r="F143" s="219" t="s">
        <v>182</v>
      </c>
      <c r="G143" s="72" t="s">
        <v>475</v>
      </c>
      <c r="H143" s="72" t="s">
        <v>224</v>
      </c>
      <c r="I143" s="79">
        <f>D158</f>
        <v>1</v>
      </c>
    </row>
    <row r="144" spans="1:16" x14ac:dyDescent="0.25">
      <c r="A144" s="219"/>
      <c r="B144" s="21" t="s">
        <v>265</v>
      </c>
      <c r="C144" s="21" t="s">
        <v>436</v>
      </c>
      <c r="D144" s="123">
        <v>10</v>
      </c>
      <c r="F144" s="220" t="s">
        <v>185</v>
      </c>
      <c r="G144" s="223" t="s">
        <v>476</v>
      </c>
      <c r="H144" s="223" t="s">
        <v>145</v>
      </c>
      <c r="I144" s="131">
        <f>D147+D159</f>
        <v>112</v>
      </c>
    </row>
    <row r="145" spans="1:9" x14ac:dyDescent="0.25">
      <c r="A145" s="219" t="s">
        <v>65</v>
      </c>
      <c r="B145" s="76" t="s">
        <v>191</v>
      </c>
      <c r="C145" s="76" t="s">
        <v>545</v>
      </c>
      <c r="D145" s="79">
        <f>SUM(D140:D144)</f>
        <v>160</v>
      </c>
    </row>
    <row r="146" spans="1:9" ht="30" x14ac:dyDescent="0.25">
      <c r="A146" s="219"/>
      <c r="B146" s="21" t="s">
        <v>168</v>
      </c>
      <c r="C146" s="21" t="s">
        <v>19</v>
      </c>
      <c r="D146" s="59">
        <v>65</v>
      </c>
      <c r="F146" s="286" t="s">
        <v>567</v>
      </c>
      <c r="G146" s="287"/>
      <c r="H146" s="287"/>
      <c r="I146" s="288"/>
    </row>
    <row r="147" spans="1:9" ht="30" x14ac:dyDescent="0.25">
      <c r="A147" s="219"/>
      <c r="B147" s="21" t="s">
        <v>137</v>
      </c>
      <c r="C147" s="21" t="s">
        <v>343</v>
      </c>
      <c r="D147" s="59">
        <v>95</v>
      </c>
      <c r="F147" s="54" t="s">
        <v>99</v>
      </c>
      <c r="G147" s="27" t="s">
        <v>39</v>
      </c>
      <c r="H147" s="27" t="s">
        <v>40</v>
      </c>
      <c r="I147" s="64" t="s">
        <v>29</v>
      </c>
    </row>
    <row r="148" spans="1:9" x14ac:dyDescent="0.25">
      <c r="A148" s="219" t="s">
        <v>143</v>
      </c>
      <c r="B148" s="76" t="s">
        <v>191</v>
      </c>
      <c r="C148" s="76" t="s">
        <v>546</v>
      </c>
      <c r="D148" s="79">
        <f>SUM(D146:D147)</f>
        <v>160</v>
      </c>
      <c r="F148" s="219" t="s">
        <v>186</v>
      </c>
      <c r="G148" s="33" t="s">
        <v>271</v>
      </c>
      <c r="H148" s="33" t="s">
        <v>267</v>
      </c>
      <c r="I148" s="77">
        <f>D121/D124</f>
        <v>0.9293739967897271</v>
      </c>
    </row>
    <row r="149" spans="1:9" ht="30" x14ac:dyDescent="0.25">
      <c r="A149" s="220"/>
      <c r="B149" s="178"/>
      <c r="C149" s="31" t="s">
        <v>269</v>
      </c>
      <c r="D149" s="128">
        <f>D145-D148</f>
        <v>0</v>
      </c>
      <c r="F149" s="219" t="s">
        <v>187</v>
      </c>
      <c r="G149" s="33" t="s">
        <v>310</v>
      </c>
      <c r="H149" s="33" t="s">
        <v>315</v>
      </c>
      <c r="I149" s="78">
        <f>D132-I148*D127</f>
        <v>283.29052969502436</v>
      </c>
    </row>
    <row r="150" spans="1:9" ht="30" x14ac:dyDescent="0.25">
      <c r="A150" s="221"/>
      <c r="B150" s="197"/>
      <c r="C150" s="83" t="s">
        <v>351</v>
      </c>
      <c r="D150" s="129"/>
      <c r="F150" s="219" t="s">
        <v>344</v>
      </c>
      <c r="G150" s="33" t="s">
        <v>309</v>
      </c>
      <c r="H150" s="33" t="s">
        <v>316</v>
      </c>
      <c r="I150" s="79">
        <f>I149-D134-D135-D137</f>
        <v>-70.827117363799189</v>
      </c>
    </row>
    <row r="151" spans="1:9" x14ac:dyDescent="0.25">
      <c r="A151" s="219"/>
      <c r="B151" s="21" t="s">
        <v>16</v>
      </c>
      <c r="C151" s="21" t="s">
        <v>14</v>
      </c>
      <c r="D151" s="123">
        <v>20</v>
      </c>
      <c r="F151" s="219" t="s">
        <v>451</v>
      </c>
      <c r="G151" s="33" t="s">
        <v>192</v>
      </c>
      <c r="H151" s="33" t="s">
        <v>261</v>
      </c>
      <c r="I151" s="79">
        <f>D145-I148*D140</f>
        <v>71.709470304975923</v>
      </c>
    </row>
    <row r="152" spans="1:9" x14ac:dyDescent="0.25">
      <c r="A152" s="219"/>
      <c r="B152" s="21" t="s">
        <v>15</v>
      </c>
      <c r="C152" s="21" t="s">
        <v>13</v>
      </c>
      <c r="D152" s="123">
        <v>88</v>
      </c>
      <c r="F152" s="220" t="s">
        <v>478</v>
      </c>
      <c r="G152" s="73" t="s">
        <v>260</v>
      </c>
      <c r="H152" s="73" t="s">
        <v>263</v>
      </c>
      <c r="I152" s="67">
        <f>I150+I151+D155-I121</f>
        <v>110.88235294117673</v>
      </c>
    </row>
    <row r="153" spans="1:9" x14ac:dyDescent="0.25">
      <c r="A153" s="219"/>
      <c r="B153" s="21" t="s">
        <v>345</v>
      </c>
      <c r="C153" s="21" t="s">
        <v>348</v>
      </c>
      <c r="D153" s="123">
        <v>1</v>
      </c>
    </row>
    <row r="154" spans="1:9" x14ac:dyDescent="0.25">
      <c r="A154" s="219"/>
      <c r="B154" s="21" t="s">
        <v>346</v>
      </c>
      <c r="C154" s="21" t="s">
        <v>347</v>
      </c>
      <c r="D154" s="123">
        <v>1</v>
      </c>
    </row>
    <row r="155" spans="1:9" x14ac:dyDescent="0.25">
      <c r="A155" s="219" t="s">
        <v>66</v>
      </c>
      <c r="B155" s="76" t="s">
        <v>207</v>
      </c>
      <c r="C155" s="76" t="s">
        <v>547</v>
      </c>
      <c r="D155" s="79">
        <f>D152+D151+D153+D154</f>
        <v>110</v>
      </c>
    </row>
    <row r="156" spans="1:9" ht="30" x14ac:dyDescent="0.25">
      <c r="A156" s="219"/>
      <c r="B156" s="21" t="s">
        <v>169</v>
      </c>
      <c r="C156" s="21" t="s">
        <v>173</v>
      </c>
      <c r="D156" s="123">
        <v>87</v>
      </c>
    </row>
    <row r="157" spans="1:9" ht="45" x14ac:dyDescent="0.25">
      <c r="A157" s="219"/>
      <c r="B157" s="21" t="s">
        <v>170</v>
      </c>
      <c r="C157" s="21" t="s">
        <v>171</v>
      </c>
      <c r="D157" s="123">
        <v>5</v>
      </c>
    </row>
    <row r="158" spans="1:9" ht="30" x14ac:dyDescent="0.25">
      <c r="A158" s="219"/>
      <c r="B158" s="21" t="s">
        <v>208</v>
      </c>
      <c r="C158" s="21" t="s">
        <v>206</v>
      </c>
      <c r="D158" s="123">
        <v>1</v>
      </c>
    </row>
    <row r="159" spans="1:9" ht="30" x14ac:dyDescent="0.25">
      <c r="A159" s="219"/>
      <c r="B159" s="21" t="s">
        <v>138</v>
      </c>
      <c r="C159" s="21" t="s">
        <v>174</v>
      </c>
      <c r="D159" s="123">
        <v>17</v>
      </c>
    </row>
    <row r="160" spans="1:9" x14ac:dyDescent="0.25">
      <c r="A160" s="219" t="s">
        <v>477</v>
      </c>
      <c r="B160" s="76" t="s">
        <v>207</v>
      </c>
      <c r="C160" s="76" t="s">
        <v>548</v>
      </c>
      <c r="D160" s="79">
        <f>D156+D157+D158+D159</f>
        <v>110</v>
      </c>
    </row>
    <row r="161" spans="1:16" x14ac:dyDescent="0.25">
      <c r="A161" s="220"/>
      <c r="B161" s="178"/>
      <c r="C161" s="31" t="s">
        <v>172</v>
      </c>
      <c r="D161" s="128">
        <f>D155-D160</f>
        <v>0</v>
      </c>
    </row>
    <row r="162" spans="1:16" x14ac:dyDescent="0.25">
      <c r="C162" s="29"/>
      <c r="D162" s="45"/>
    </row>
    <row r="163" spans="1:16" x14ac:dyDescent="0.25">
      <c r="A163" s="44"/>
      <c r="B163" s="6"/>
      <c r="C163" s="6"/>
      <c r="D163" s="6"/>
      <c r="E163" s="6"/>
      <c r="F163" s="6"/>
      <c r="G163" s="6"/>
      <c r="H163" s="6"/>
      <c r="I163" s="6"/>
      <c r="J163" s="6"/>
      <c r="K163" s="6"/>
      <c r="L163" s="6"/>
      <c r="M163" s="6"/>
      <c r="N163" s="6"/>
      <c r="O163" s="6"/>
      <c r="P163" s="6"/>
    </row>
    <row r="164" spans="1:16" ht="21.75" thickBot="1" x14ac:dyDescent="0.4">
      <c r="A164" s="5" t="s">
        <v>51</v>
      </c>
      <c r="C164" s="2"/>
      <c r="D164" s="2"/>
    </row>
    <row r="165" spans="1:16" ht="21" x14ac:dyDescent="0.35">
      <c r="A165" s="54" t="s">
        <v>99</v>
      </c>
      <c r="B165" s="27" t="s">
        <v>39</v>
      </c>
      <c r="C165" s="27" t="s">
        <v>40</v>
      </c>
      <c r="D165" s="64" t="s">
        <v>29</v>
      </c>
      <c r="F165" s="54" t="s">
        <v>99</v>
      </c>
      <c r="G165" s="27" t="s">
        <v>39</v>
      </c>
      <c r="H165" s="27" t="s">
        <v>40</v>
      </c>
      <c r="I165" s="64" t="s">
        <v>29</v>
      </c>
      <c r="K165" s="80" t="s">
        <v>67</v>
      </c>
      <c r="L165" s="117"/>
      <c r="M165" s="117"/>
      <c r="N165" s="117"/>
      <c r="O165" s="117"/>
      <c r="P165" s="154"/>
    </row>
    <row r="166" spans="1:16" ht="15.75" x14ac:dyDescent="0.25">
      <c r="A166" s="227"/>
      <c r="B166" s="228"/>
      <c r="C166" s="82" t="s">
        <v>89</v>
      </c>
      <c r="D166" s="23"/>
      <c r="F166" s="220" t="s">
        <v>78</v>
      </c>
      <c r="G166" s="223" t="s">
        <v>330</v>
      </c>
      <c r="H166" s="223" t="s">
        <v>331</v>
      </c>
      <c r="I166" s="67">
        <f>D175+D179+D187</f>
        <v>211.42358863718087</v>
      </c>
      <c r="K166" s="273" t="s">
        <v>571</v>
      </c>
      <c r="L166" s="274"/>
      <c r="M166" s="274"/>
      <c r="N166" s="274"/>
      <c r="O166" s="274"/>
      <c r="P166" s="275"/>
    </row>
    <row r="167" spans="1:16" x14ac:dyDescent="0.25">
      <c r="A167" s="240"/>
      <c r="B167" s="21" t="s">
        <v>306</v>
      </c>
      <c r="C167" s="21" t="s">
        <v>83</v>
      </c>
      <c r="D167" s="130">
        <f>D130</f>
        <v>50</v>
      </c>
      <c r="F167" s="21"/>
      <c r="G167" s="21"/>
      <c r="H167" s="21"/>
      <c r="K167" s="276" t="s">
        <v>572</v>
      </c>
      <c r="L167" s="277"/>
      <c r="M167" s="277"/>
      <c r="N167" s="277"/>
      <c r="O167" s="277"/>
      <c r="P167" s="278"/>
    </row>
    <row r="168" spans="1:16" x14ac:dyDescent="0.25">
      <c r="A168" s="240"/>
      <c r="B168" s="21" t="s">
        <v>307</v>
      </c>
      <c r="C168" s="21" t="s">
        <v>436</v>
      </c>
      <c r="D168" s="130">
        <f>D131</f>
        <v>20</v>
      </c>
      <c r="F168" s="222" t="s">
        <v>99</v>
      </c>
      <c r="G168" s="196" t="s">
        <v>39</v>
      </c>
      <c r="H168" s="196" t="s">
        <v>40</v>
      </c>
      <c r="I168" s="64" t="s">
        <v>29</v>
      </c>
      <c r="K168" s="202"/>
      <c r="L168" s="203"/>
      <c r="M168" s="181" t="s">
        <v>530</v>
      </c>
      <c r="N168" s="182" t="s">
        <v>530</v>
      </c>
      <c r="O168" s="181" t="s">
        <v>531</v>
      </c>
      <c r="P168" s="183" t="s">
        <v>531</v>
      </c>
    </row>
    <row r="169" spans="1:16" ht="30" x14ac:dyDescent="0.25">
      <c r="A169" s="219" t="s">
        <v>100</v>
      </c>
      <c r="B169" s="76" t="s">
        <v>320</v>
      </c>
      <c r="C169" s="76" t="s">
        <v>324</v>
      </c>
      <c r="D169" s="65">
        <f>D167+D168</f>
        <v>70</v>
      </c>
      <c r="F169" s="219" t="s">
        <v>96</v>
      </c>
      <c r="G169" s="72" t="s">
        <v>317</v>
      </c>
      <c r="H169" s="72" t="s">
        <v>23</v>
      </c>
      <c r="I169" s="242">
        <f>$D$175*(I110-($D$90-$D$94))/($D$100-($D$90-$D$94))</f>
        <v>14.353332058573223</v>
      </c>
      <c r="K169" s="205" t="s">
        <v>510</v>
      </c>
      <c r="L169" s="164" t="s">
        <v>417</v>
      </c>
      <c r="M169" s="185" t="s">
        <v>99</v>
      </c>
      <c r="N169" s="164" t="s">
        <v>391</v>
      </c>
      <c r="O169" s="185" t="s">
        <v>99</v>
      </c>
      <c r="P169" s="229" t="s">
        <v>391</v>
      </c>
    </row>
    <row r="170" spans="1:16" ht="75" x14ac:dyDescent="0.25">
      <c r="A170" s="219"/>
      <c r="B170" s="21" t="s">
        <v>549</v>
      </c>
      <c r="C170" s="21" t="s">
        <v>590</v>
      </c>
      <c r="D170" s="126">
        <v>0.9</v>
      </c>
      <c r="F170" s="219" t="s">
        <v>97</v>
      </c>
      <c r="G170" s="72" t="s">
        <v>318</v>
      </c>
      <c r="H170" s="72" t="s">
        <v>24</v>
      </c>
      <c r="I170" s="243">
        <f>$D$175*I111/($D$100-($D$90-$D$94))</f>
        <v>5.0837373977920342</v>
      </c>
      <c r="K170" s="187" t="s">
        <v>526</v>
      </c>
      <c r="L170" s="161" t="s">
        <v>430</v>
      </c>
      <c r="M170" s="181" t="s">
        <v>498</v>
      </c>
      <c r="N170" s="190">
        <f>1000*I166/D54</f>
        <v>0.45467438416598033</v>
      </c>
      <c r="O170" s="181" t="s">
        <v>554</v>
      </c>
      <c r="P170" s="207">
        <f>1000*I182/D54</f>
        <v>0.32043010752688172</v>
      </c>
    </row>
    <row r="171" spans="1:16" ht="30" x14ac:dyDescent="0.25">
      <c r="A171" s="219" t="s">
        <v>92</v>
      </c>
      <c r="B171" s="76" t="s">
        <v>586</v>
      </c>
      <c r="C171" s="76" t="s">
        <v>587</v>
      </c>
      <c r="D171" s="237">
        <f>IFERROR((D169/D132)*(D93/D170),"0")</f>
        <v>4.0273282991729591</v>
      </c>
      <c r="E171" s="13"/>
      <c r="F171" s="219" t="s">
        <v>98</v>
      </c>
      <c r="G171" s="72" t="s">
        <v>328</v>
      </c>
      <c r="H171" s="72" t="s">
        <v>225</v>
      </c>
      <c r="I171" s="243">
        <f>$D$175*I112/($D$100-($D$90-$D$94))</f>
        <v>0.36731211681580095</v>
      </c>
      <c r="K171" s="187" t="s">
        <v>519</v>
      </c>
      <c r="L171" s="161" t="s">
        <v>425</v>
      </c>
      <c r="M171" s="181" t="s">
        <v>499</v>
      </c>
      <c r="N171" s="188">
        <f>1000*I175/D48</f>
        <v>0.24419819475290058</v>
      </c>
      <c r="O171" s="181" t="s">
        <v>555</v>
      </c>
      <c r="P171" s="206">
        <f>1000*I183/D48</f>
        <v>0.20540540540540542</v>
      </c>
    </row>
    <row r="172" spans="1:16" ht="30" x14ac:dyDescent="0.25">
      <c r="A172" s="225" t="s">
        <v>69</v>
      </c>
      <c r="B172" s="31" t="s">
        <v>452</v>
      </c>
      <c r="C172" s="31" t="s">
        <v>588</v>
      </c>
      <c r="D172" s="244">
        <f>IFERROR((D169/D132)*(D95/D170),"0")</f>
        <v>2.5170801869830998E-2</v>
      </c>
      <c r="E172" s="13"/>
      <c r="F172" s="220" t="s">
        <v>153</v>
      </c>
      <c r="G172" s="223" t="s">
        <v>319</v>
      </c>
      <c r="H172" s="223" t="s">
        <v>152</v>
      </c>
      <c r="I172" s="244">
        <f>$D$175*I113/($D$100-($D$90-$D$94))</f>
        <v>42.619207063999816</v>
      </c>
      <c r="K172" s="187" t="s">
        <v>524</v>
      </c>
      <c r="L172" s="161"/>
      <c r="M172" s="181" t="s">
        <v>500</v>
      </c>
      <c r="N172" s="188">
        <f>IFERROR(1000*I176/D49,"-")</f>
        <v>1.2816747479558408</v>
      </c>
      <c r="O172" s="181" t="s">
        <v>556</v>
      </c>
      <c r="P172" s="206">
        <f>IFERROR(1000*I184/D49,"-")</f>
        <v>1.18</v>
      </c>
    </row>
    <row r="173" spans="1:16" ht="60" x14ac:dyDescent="0.25">
      <c r="A173" s="21"/>
      <c r="B173" s="21" t="s">
        <v>453</v>
      </c>
      <c r="C173" s="21" t="s">
        <v>454</v>
      </c>
      <c r="D173" s="239">
        <v>0.9</v>
      </c>
      <c r="E173" s="13"/>
      <c r="F173" s="241"/>
      <c r="G173" s="72"/>
      <c r="H173" s="72"/>
      <c r="I173" s="149"/>
      <c r="K173" s="187" t="s">
        <v>527</v>
      </c>
      <c r="L173" s="161" t="s">
        <v>425</v>
      </c>
      <c r="M173" s="181" t="s">
        <v>501</v>
      </c>
      <c r="N173" s="188">
        <f>IFERROR(1000*(I175/D48+I176/D49),"-")</f>
        <v>1.5258729427087414</v>
      </c>
      <c r="O173" s="181" t="s">
        <v>557</v>
      </c>
      <c r="P173" s="206">
        <f>IFERROR(1000*(I183/D48+I184/D49),"-")</f>
        <v>1.3854054054054055</v>
      </c>
    </row>
    <row r="174" spans="1:16" ht="15.75" x14ac:dyDescent="0.25">
      <c r="A174" s="219" t="s">
        <v>70</v>
      </c>
      <c r="B174" s="76" t="s">
        <v>562</v>
      </c>
      <c r="C174" s="76" t="s">
        <v>455</v>
      </c>
      <c r="D174" s="237">
        <f>IFERROR((D169/D132)*(D97/D173),0)</f>
        <v>3.5239122617763394</v>
      </c>
      <c r="E174" s="13"/>
      <c r="F174" s="222" t="s">
        <v>99</v>
      </c>
      <c r="G174" s="196" t="s">
        <v>39</v>
      </c>
      <c r="H174" s="196" t="s">
        <v>40</v>
      </c>
      <c r="I174" s="64" t="s">
        <v>29</v>
      </c>
      <c r="K174" s="187" t="s">
        <v>523</v>
      </c>
      <c r="L174" s="162" t="s">
        <v>431</v>
      </c>
      <c r="M174" s="181" t="s">
        <v>502</v>
      </c>
      <c r="N174" s="190">
        <f>IFERROR(1000*(I177/D50+I178/D52),"-")</f>
        <v>0.20238779153717515</v>
      </c>
      <c r="O174" s="181" t="s">
        <v>558</v>
      </c>
      <c r="P174" s="207">
        <f>IFERROR(1000*(I185/D50+I186/D52),"-")</f>
        <v>8.1325301204819275E-2</v>
      </c>
    </row>
    <row r="175" spans="1:16" ht="16.5" thickBot="1" x14ac:dyDescent="0.3">
      <c r="A175" s="219" t="s">
        <v>71</v>
      </c>
      <c r="B175" s="76" t="s">
        <v>321</v>
      </c>
      <c r="C175" s="31" t="s">
        <v>325</v>
      </c>
      <c r="D175" s="131">
        <f>D169-D171-D172-D174</f>
        <v>62.423588637180863</v>
      </c>
      <c r="E175" s="13"/>
      <c r="F175" s="219" t="s">
        <v>154</v>
      </c>
      <c r="G175" s="72" t="s">
        <v>284</v>
      </c>
      <c r="H175" s="72" t="s">
        <v>75</v>
      </c>
      <c r="I175" s="55">
        <f>I169+D188</f>
        <v>90.353332058573216</v>
      </c>
      <c r="K175" s="191" t="s">
        <v>522</v>
      </c>
      <c r="L175" s="163" t="s">
        <v>431</v>
      </c>
      <c r="M175" s="192" t="s">
        <v>503</v>
      </c>
      <c r="N175" s="209">
        <f>1000*(I178/D52)</f>
        <v>0.1340221856963851</v>
      </c>
      <c r="O175" s="192" t="s">
        <v>589</v>
      </c>
      <c r="P175" s="218">
        <f>1000*(I186/D52)</f>
        <v>3.1325301204819272E-2</v>
      </c>
    </row>
    <row r="176" spans="1:16" ht="15.75" x14ac:dyDescent="0.25">
      <c r="A176" s="227"/>
      <c r="B176" s="228"/>
      <c r="C176" s="82" t="s">
        <v>272</v>
      </c>
      <c r="D176" s="23"/>
      <c r="E176" s="13"/>
      <c r="F176" s="219" t="s">
        <v>157</v>
      </c>
      <c r="G176" s="72" t="s">
        <v>285</v>
      </c>
      <c r="H176" s="72" t="s">
        <v>76</v>
      </c>
      <c r="I176" s="53">
        <f>I170+D180+D189</f>
        <v>64.083737397792035</v>
      </c>
    </row>
    <row r="177" spans="1:10" ht="15.75" x14ac:dyDescent="0.25">
      <c r="A177" s="219"/>
      <c r="B177" s="21" t="s">
        <v>264</v>
      </c>
      <c r="C177" s="21" t="s">
        <v>83</v>
      </c>
      <c r="D177" s="140">
        <f>D143</f>
        <v>50</v>
      </c>
      <c r="E177" s="13"/>
      <c r="F177" s="219" t="s">
        <v>158</v>
      </c>
      <c r="G177" s="72" t="s">
        <v>329</v>
      </c>
      <c r="H177" s="72" t="s">
        <v>226</v>
      </c>
      <c r="I177" s="62">
        <f>I171+D190</f>
        <v>1.3673121168158009</v>
      </c>
    </row>
    <row r="178" spans="1:10" ht="15.75" x14ac:dyDescent="0.25">
      <c r="A178" s="219"/>
      <c r="B178" s="21" t="s">
        <v>265</v>
      </c>
      <c r="C178" s="21" t="s">
        <v>436</v>
      </c>
      <c r="D178" s="140">
        <f>D144</f>
        <v>10</v>
      </c>
      <c r="E178" s="13"/>
      <c r="F178" s="220" t="s">
        <v>159</v>
      </c>
      <c r="G178" s="223" t="s">
        <v>156</v>
      </c>
      <c r="H178" s="223" t="s">
        <v>155</v>
      </c>
      <c r="I178" s="52">
        <f>I172+D181+D191</f>
        <v>55.619207063999816</v>
      </c>
      <c r="J178" s="151"/>
    </row>
    <row r="179" spans="1:10" ht="15.75" x14ac:dyDescent="0.25">
      <c r="A179" s="219" t="s">
        <v>72</v>
      </c>
      <c r="B179" s="76" t="s">
        <v>278</v>
      </c>
      <c r="C179" s="76" t="s">
        <v>279</v>
      </c>
      <c r="D179" s="65">
        <f>D177+D178</f>
        <v>60</v>
      </c>
      <c r="E179" s="13"/>
      <c r="F179" s="21"/>
      <c r="G179" s="21"/>
      <c r="H179" s="21"/>
    </row>
    <row r="180" spans="1:10" ht="30" x14ac:dyDescent="0.25">
      <c r="A180" s="219"/>
      <c r="B180" s="21" t="s">
        <v>210</v>
      </c>
      <c r="C180" s="21" t="s">
        <v>91</v>
      </c>
      <c r="D180" s="59">
        <v>55</v>
      </c>
      <c r="E180" s="13"/>
      <c r="F180" s="283" t="s">
        <v>573</v>
      </c>
      <c r="G180" s="284"/>
      <c r="H180" s="284"/>
      <c r="I180" s="285"/>
    </row>
    <row r="181" spans="1:10" ht="15.75" x14ac:dyDescent="0.25">
      <c r="A181" s="219"/>
      <c r="B181" s="21" t="s">
        <v>211</v>
      </c>
      <c r="C181" s="21" t="s">
        <v>150</v>
      </c>
      <c r="D181" s="119">
        <v>5</v>
      </c>
      <c r="E181" s="13"/>
      <c r="F181" s="222" t="s">
        <v>99</v>
      </c>
      <c r="G181" s="196" t="s">
        <v>39</v>
      </c>
      <c r="H181" s="196" t="s">
        <v>40</v>
      </c>
      <c r="I181" s="64" t="s">
        <v>29</v>
      </c>
    </row>
    <row r="182" spans="1:10" ht="15.75" x14ac:dyDescent="0.25">
      <c r="A182" s="219" t="s">
        <v>73</v>
      </c>
      <c r="B182" s="76" t="s">
        <v>278</v>
      </c>
      <c r="C182" s="76" t="s">
        <v>280</v>
      </c>
      <c r="D182" s="65">
        <f>D180+D181</f>
        <v>60</v>
      </c>
      <c r="E182" s="13"/>
      <c r="F182" s="220" t="s">
        <v>160</v>
      </c>
      <c r="G182" s="223" t="s">
        <v>492</v>
      </c>
      <c r="H182" s="223" t="s">
        <v>331</v>
      </c>
      <c r="I182" s="67">
        <f>D179+D187</f>
        <v>149</v>
      </c>
    </row>
    <row r="183" spans="1:10" ht="15.75" x14ac:dyDescent="0.25">
      <c r="A183" s="220"/>
      <c r="B183" s="178"/>
      <c r="C183" s="31" t="s">
        <v>84</v>
      </c>
      <c r="D183" s="128">
        <f>D179-D182</f>
        <v>0</v>
      </c>
      <c r="E183" s="13"/>
      <c r="F183" s="219" t="s">
        <v>161</v>
      </c>
      <c r="G183" s="72" t="s">
        <v>493</v>
      </c>
      <c r="H183" s="72" t="s">
        <v>75</v>
      </c>
      <c r="I183" s="55">
        <f>D188</f>
        <v>76</v>
      </c>
    </row>
    <row r="184" spans="1:10" ht="30" x14ac:dyDescent="0.25">
      <c r="A184" s="227"/>
      <c r="B184" s="228"/>
      <c r="C184" s="83" t="s">
        <v>350</v>
      </c>
      <c r="D184" s="132"/>
      <c r="E184" s="13"/>
      <c r="F184" s="219" t="s">
        <v>188</v>
      </c>
      <c r="G184" s="72" t="s">
        <v>494</v>
      </c>
      <c r="H184" s="72" t="s">
        <v>76</v>
      </c>
      <c r="I184" s="53">
        <f>D180+D189</f>
        <v>59</v>
      </c>
    </row>
    <row r="185" spans="1:10" ht="15.75" x14ac:dyDescent="0.25">
      <c r="A185" s="240"/>
      <c r="B185" s="21" t="s">
        <v>15</v>
      </c>
      <c r="C185" s="21" t="s">
        <v>13</v>
      </c>
      <c r="D185" s="140">
        <f>D152</f>
        <v>88</v>
      </c>
      <c r="E185" s="13"/>
      <c r="F185" s="219" t="s">
        <v>456</v>
      </c>
      <c r="G185" s="72" t="s">
        <v>495</v>
      </c>
      <c r="H185" s="72" t="s">
        <v>226</v>
      </c>
      <c r="I185" s="62">
        <f>D190</f>
        <v>1</v>
      </c>
    </row>
    <row r="186" spans="1:10" ht="15.75" x14ac:dyDescent="0.25">
      <c r="A186" s="240"/>
      <c r="B186" s="21" t="s">
        <v>346</v>
      </c>
      <c r="C186" s="21" t="s">
        <v>349</v>
      </c>
      <c r="D186" s="130">
        <f>D154</f>
        <v>1</v>
      </c>
      <c r="E186" s="13"/>
      <c r="F186" s="220" t="s">
        <v>497</v>
      </c>
      <c r="G186" s="223" t="s">
        <v>496</v>
      </c>
      <c r="H186" s="223" t="s">
        <v>155</v>
      </c>
      <c r="I186" s="52">
        <f>D181+D191</f>
        <v>13</v>
      </c>
      <c r="J186" s="151"/>
    </row>
    <row r="187" spans="1:10" x14ac:dyDescent="0.25">
      <c r="A187" s="219" t="s">
        <v>74</v>
      </c>
      <c r="B187" s="76" t="s">
        <v>283</v>
      </c>
      <c r="C187" s="76" t="s">
        <v>281</v>
      </c>
      <c r="D187" s="65">
        <f>D185+D186</f>
        <v>89</v>
      </c>
    </row>
    <row r="188" spans="1:10" ht="30" x14ac:dyDescent="0.25">
      <c r="A188" s="219"/>
      <c r="B188" s="21" t="s">
        <v>273</v>
      </c>
      <c r="C188" s="21" t="s">
        <v>93</v>
      </c>
      <c r="D188" s="59">
        <v>76</v>
      </c>
    </row>
    <row r="189" spans="1:10" ht="45" x14ac:dyDescent="0.25">
      <c r="A189" s="219"/>
      <c r="B189" s="21" t="s">
        <v>274</v>
      </c>
      <c r="C189" s="21" t="s">
        <v>151</v>
      </c>
      <c r="D189" s="59">
        <v>4</v>
      </c>
    </row>
    <row r="190" spans="1:10" ht="30" x14ac:dyDescent="0.25">
      <c r="A190" s="219"/>
      <c r="B190" s="21" t="s">
        <v>327</v>
      </c>
      <c r="C190" s="21" t="s">
        <v>276</v>
      </c>
      <c r="D190" s="59">
        <v>1</v>
      </c>
    </row>
    <row r="191" spans="1:10" ht="30" x14ac:dyDescent="0.25">
      <c r="A191" s="219"/>
      <c r="B191" s="21" t="s">
        <v>275</v>
      </c>
      <c r="C191" s="21" t="s">
        <v>277</v>
      </c>
      <c r="D191" s="59">
        <v>8</v>
      </c>
    </row>
    <row r="192" spans="1:10" x14ac:dyDescent="0.25">
      <c r="A192" s="219" t="s">
        <v>77</v>
      </c>
      <c r="B192" s="76" t="s">
        <v>283</v>
      </c>
      <c r="C192" s="76" t="s">
        <v>282</v>
      </c>
      <c r="D192" s="65">
        <f>D188+D189+D190+D191</f>
        <v>89</v>
      </c>
    </row>
    <row r="193" spans="1:16" x14ac:dyDescent="0.25">
      <c r="A193" s="51"/>
      <c r="B193" s="2"/>
      <c r="C193" s="31" t="s">
        <v>84</v>
      </c>
      <c r="D193" s="128">
        <f>D187-D192</f>
        <v>0</v>
      </c>
    </row>
    <row r="195" spans="1:16" x14ac:dyDescent="0.25">
      <c r="A195" s="44"/>
      <c r="B195" s="6"/>
      <c r="C195" s="6"/>
      <c r="D195" s="6"/>
      <c r="E195" s="6"/>
      <c r="F195" s="6"/>
      <c r="G195" s="6"/>
      <c r="H195" s="6"/>
      <c r="I195" s="6"/>
      <c r="J195" s="6"/>
      <c r="K195" s="6"/>
      <c r="L195" s="6"/>
      <c r="M195" s="6"/>
      <c r="N195" s="6"/>
      <c r="O195" s="6"/>
      <c r="P195" s="6"/>
    </row>
    <row r="196" spans="1:16" x14ac:dyDescent="0.25">
      <c r="A196" s="46" t="s">
        <v>79</v>
      </c>
    </row>
    <row r="197" spans="1:16" x14ac:dyDescent="0.25">
      <c r="A197" s="264"/>
      <c r="B197" s="265"/>
      <c r="C197" s="265"/>
      <c r="D197" s="265"/>
      <c r="E197" s="265"/>
      <c r="F197" s="265"/>
      <c r="G197" s="265"/>
      <c r="H197" s="265"/>
      <c r="I197" s="266"/>
      <c r="J197" s="167"/>
    </row>
    <row r="198" spans="1:16" x14ac:dyDescent="0.25">
      <c r="A198" s="267"/>
      <c r="B198" s="268"/>
      <c r="C198" s="268"/>
      <c r="D198" s="268"/>
      <c r="E198" s="268"/>
      <c r="F198" s="268"/>
      <c r="G198" s="268"/>
      <c r="H198" s="268"/>
      <c r="I198" s="269"/>
    </row>
    <row r="199" spans="1:16" x14ac:dyDescent="0.25">
      <c r="A199" s="267"/>
      <c r="B199" s="268"/>
      <c r="C199" s="268"/>
      <c r="D199" s="268"/>
      <c r="E199" s="268"/>
      <c r="F199" s="268"/>
      <c r="G199" s="268"/>
      <c r="H199" s="268"/>
      <c r="I199" s="269"/>
    </row>
    <row r="200" spans="1:16" x14ac:dyDescent="0.25">
      <c r="A200" s="270"/>
      <c r="B200" s="271"/>
      <c r="C200" s="271"/>
      <c r="D200" s="271"/>
      <c r="E200" s="271"/>
      <c r="F200" s="271"/>
      <c r="G200" s="271"/>
      <c r="H200" s="271"/>
      <c r="I200" s="272"/>
    </row>
  </sheetData>
  <mergeCells count="13">
    <mergeCell ref="A10:F10"/>
    <mergeCell ref="A39:H39"/>
    <mergeCell ref="A40:H43"/>
    <mergeCell ref="A197:I200"/>
    <mergeCell ref="K166:P166"/>
    <mergeCell ref="K167:P167"/>
    <mergeCell ref="K59:P59"/>
    <mergeCell ref="K60:P60"/>
    <mergeCell ref="K121:P121"/>
    <mergeCell ref="K120:P120"/>
    <mergeCell ref="F180:I180"/>
    <mergeCell ref="F146:I146"/>
    <mergeCell ref="F138:I138"/>
  </mergeCells>
  <phoneticPr fontId="10" type="noConversion"/>
  <dataValidations disablePrompts="1" count="9">
    <dataValidation type="list" allowBlank="1" showInputMessage="1" showErrorMessage="1" sqref="D21" xr:uid="{0F3844CE-B8CF-41FC-B98A-95A9C469CEBC}">
      <formula1>"(Välj),Inköpta,Egenproducerade,I huvudsak inköpta,I huvudsak egenproducerade"</formula1>
    </dataValidation>
    <dataValidation type="list" allowBlank="1" showInputMessage="1" showErrorMessage="1" sqref="D19" xr:uid="{BDE2C6AB-C5A3-4B6D-8F30-5B8435A16D23}">
      <formula1>"(Välj),Ditionit,Väteperoxid,Kombination,Oblekt"</formula1>
    </dataValidation>
    <dataValidation type="list" allowBlank="1" showInputMessage="1" showErrorMessage="1" sqref="D26:D27" xr:uid="{E7B035C9-3CF0-4837-B1D3-270AB8CC0CD8}">
      <formula1>"(Välj),Förpackningskartong,Förpackningspapper,Wellpappmaterial,Tryckpapper,Tidningspapper,Mjukpapper,Övrigt (ange i kommentarsfältet)"</formula1>
    </dataValidation>
    <dataValidation type="list" allowBlank="1" showInputMessage="1" showErrorMessage="1" sqref="G37:G38" xr:uid="{8172146C-71AA-4700-ACB2-BE217A196FBA}">
      <formula1>"(Välj),TJ,ton,m3,Nm3,Annan enhet (ange i kommentarsfältet)"</formula1>
    </dataValidation>
    <dataValidation type="list" allowBlank="1" showInputMessage="1" showErrorMessage="1" sqref="D16:D17" xr:uid="{267B0D4C-F5E6-41C1-875C-3178DD7DB144}">
      <formula1>"(Välj),Löv - rundved,Löv - flis,Barr - rundved,Barr - flis"</formula1>
    </dataValidation>
    <dataValidation type="list" allowBlank="1" showInputMessage="1" showErrorMessage="1" sqref="D29:D30" xr:uid="{A9F1AF51-5129-4CA2-A6B8-D8B76F029C8A}">
      <formula1>"(Välj),Fyllmedel,Bestrykning"</formula1>
    </dataValidation>
    <dataValidation type="list" allowBlank="1" showInputMessage="1" showErrorMessage="1" sqref="D37" xr:uid="{5677FB05-A71A-4716-A49D-8A670498B2C5}">
      <formula1>"(Välj),Biogas,Annan (ange i kommentarsfältet),Ingen"</formula1>
    </dataValidation>
    <dataValidation type="list" allowBlank="1" showInputMessage="1" showErrorMessage="1" sqref="D32" xr:uid="{F9D50AD8-6BB8-4738-96FD-CFCF8C76883A}">
      <formula1>"(Välj),Kondens,Mottryck"</formula1>
    </dataValidation>
    <dataValidation type="list" allowBlank="1" showInputMessage="1" showErrorMessage="1" sqref="D14" xr:uid="{4919E47B-0B0A-417F-9352-9F20E6954DE6}">
      <formula1>"Välj,TMP,CTMP,Slip"</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352D96-B995-4E98-A4F4-10A3F690BA2D}">
  <ds:schemaRefs>
    <ds:schemaRef ds:uri="http://schemas.microsoft.com/sharepoint/v3/contenttype/forms"/>
  </ds:schemaRefs>
</ds:datastoreItem>
</file>

<file path=customXml/itemProps2.xml><?xml version="1.0" encoding="utf-8"?>
<ds:datastoreItem xmlns:ds="http://schemas.openxmlformats.org/officeDocument/2006/customXml" ds:itemID="{CAF213F1-30C7-4F27-BA43-F9EB8717B784}"/>
</file>

<file path=customXml/itemProps3.xml><?xml version="1.0" encoding="utf-8"?>
<ds:datastoreItem xmlns:ds="http://schemas.openxmlformats.org/officeDocument/2006/customXml" ds:itemID="{795E4305-D47B-4DA9-A1B4-1B9416654574}">
  <ds:schemaRefs>
    <ds:schemaRef ds:uri="http://schemas.microsoft.com/office/2006/documentManagement/types"/>
    <ds:schemaRef ds:uri="c5c7cef5-72b0-4130-9324-a6e7454301c2"/>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f51bab5f-0ed0-40a8-8f36-6fe936a643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Mek+Papper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