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chalmersindustriteknik.sharepoint.com/sites/CITRenergy/Delade dokument/General/Projekt/Pågående/25052 Beräkningsmodell energinyckeltal NV/Arbetsmaterial/Korrigerade modeller/"/>
    </mc:Choice>
  </mc:AlternateContent>
  <xr:revisionPtr revIDLastSave="6" documentId="8_{7DE0C2A1-60AE-45FB-97A0-F17BB02BAA64}" xr6:coauthVersionLast="47" xr6:coauthVersionMax="47" xr10:uidLastSave="{1517A574-A6C4-4202-B85C-89415E51F136}"/>
  <bookViews>
    <workbookView xWindow="-120" yWindow="-120" windowWidth="29040" windowHeight="15720" xr2:uid="{81CFD70E-8034-4963-A311-A79E2EEFE8E7}"/>
  </bookViews>
  <sheets>
    <sheet name="Mek+Papper"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63" i="2" l="1"/>
  <c r="N63" i="2"/>
  <c r="D174" i="2"/>
  <c r="N90" i="2"/>
  <c r="N88" i="2"/>
  <c r="P88" i="2"/>
  <c r="P66" i="2"/>
  <c r="P69" i="2"/>
  <c r="N69" i="2"/>
  <c r="D138" i="2"/>
  <c r="D135" i="2"/>
  <c r="N98" i="2"/>
  <c r="I92" i="2"/>
  <c r="D64" i="2"/>
  <c r="I141" i="2" l="1"/>
  <c r="P125" i="2" s="1"/>
  <c r="I186" i="2"/>
  <c r="I185" i="2"/>
  <c r="I184" i="2"/>
  <c r="P172" i="2" s="1"/>
  <c r="I183" i="2"/>
  <c r="P171" i="2" s="1"/>
  <c r="I144" i="2"/>
  <c r="P129" i="2" s="1"/>
  <c r="I143" i="2"/>
  <c r="I142" i="2"/>
  <c r="P126" i="2" s="1"/>
  <c r="D137" i="2"/>
  <c r="D134" i="2"/>
  <c r="P174" i="2" l="1"/>
  <c r="P128" i="2"/>
  <c r="P173" i="2"/>
  <c r="P175" i="2"/>
  <c r="P127" i="2"/>
  <c r="D145" i="2" l="1"/>
  <c r="D185" i="2" l="1"/>
  <c r="D177" i="2"/>
  <c r="D178" i="2"/>
  <c r="D132" i="2" l="1"/>
  <c r="D182" i="2"/>
  <c r="D89" i="2" l="1"/>
  <c r="D91" i="2" s="1"/>
  <c r="D96" i="2" s="1"/>
  <c r="D148" i="2"/>
  <c r="D69" i="2"/>
  <c r="D72" i="2" s="1"/>
  <c r="D168" i="2"/>
  <c r="D167" i="2"/>
  <c r="D100" i="2" l="1"/>
  <c r="N97" i="2" s="1"/>
  <c r="D169" i="2"/>
  <c r="D124" i="2"/>
  <c r="D125" i="2" s="1"/>
  <c r="D172" i="2" l="1"/>
  <c r="D171" i="2"/>
  <c r="D175" i="2" s="1"/>
  <c r="I148" i="2"/>
  <c r="I151" i="2" l="1"/>
  <c r="I149" i="2"/>
  <c r="I150" i="2" s="1"/>
  <c r="D149" i="2"/>
  <c r="D105" i="2" l="1"/>
  <c r="D108" i="2" s="1"/>
  <c r="D109" i="2" s="1"/>
  <c r="D54" i="2" l="1"/>
  <c r="D186" i="2" l="1"/>
  <c r="D155" i="2" l="1"/>
  <c r="D160" i="2"/>
  <c r="I124" i="2" l="1"/>
  <c r="I152" i="2"/>
  <c r="I140" i="2"/>
  <c r="P124" i="2" s="1"/>
  <c r="N124" i="2"/>
  <c r="D192" i="2"/>
  <c r="D161" i="2" l="1"/>
  <c r="D187" i="2" l="1"/>
  <c r="D179" i="2" l="1"/>
  <c r="D183" i="2" l="1"/>
  <c r="I182" i="2"/>
  <c r="P170" i="2" s="1"/>
  <c r="D193" i="2"/>
  <c r="I95" i="2" l="1"/>
  <c r="I100" i="2" l="1"/>
  <c r="I104" i="2" s="1"/>
  <c r="I111" i="2" s="1"/>
  <c r="I128" i="2" l="1"/>
  <c r="I134" i="2" s="1"/>
  <c r="N126" i="2" s="1"/>
  <c r="I105" i="2"/>
  <c r="I66" i="2"/>
  <c r="I103" i="2"/>
  <c r="I106" i="2"/>
  <c r="I113" i="2" s="1"/>
  <c r="I130" i="2" s="1"/>
  <c r="I136" i="2" s="1"/>
  <c r="I110" i="2" l="1"/>
  <c r="N91" i="2" s="1"/>
  <c r="N92" i="2"/>
  <c r="I107" i="2"/>
  <c r="I112" i="2"/>
  <c r="I68" i="2"/>
  <c r="P89" i="2" l="1"/>
  <c r="I127" i="2"/>
  <c r="P91" i="2"/>
  <c r="I129" i="2"/>
  <c r="I135" i="2" s="1"/>
  <c r="N128" i="2" s="1"/>
  <c r="N93" i="2"/>
  <c r="I67" i="2"/>
  <c r="I65" i="2"/>
  <c r="N89" i="2"/>
  <c r="I133" i="2" l="1"/>
  <c r="N127" i="2" s="1"/>
  <c r="D73" i="2"/>
  <c r="D74" i="2" s="1"/>
  <c r="D79" i="2" s="1"/>
  <c r="N125" i="2" l="1"/>
  <c r="I59" i="2"/>
  <c r="I60" i="2"/>
  <c r="I62" i="2"/>
  <c r="I61" i="2"/>
  <c r="I73" i="2" l="1"/>
  <c r="P68" i="2"/>
  <c r="I74" i="2"/>
  <c r="N67" i="2" s="1"/>
  <c r="P67" i="2"/>
  <c r="I72" i="2"/>
  <c r="N65" i="2" s="1"/>
  <c r="P65" i="2"/>
  <c r="I71" i="2"/>
  <c r="P64" i="2"/>
  <c r="N129" i="2"/>
  <c r="N66" i="2" l="1"/>
  <c r="N68" i="2"/>
  <c r="N64" i="2"/>
  <c r="I171" i="2"/>
  <c r="I177" i="2" s="1"/>
  <c r="I170" i="2"/>
  <c r="I176" i="2" s="1"/>
  <c r="N172" i="2" s="1"/>
  <c r="I169" i="2"/>
  <c r="I175" i="2" s="1"/>
  <c r="I172" i="2"/>
  <c r="I178" i="2" s="1"/>
  <c r="I166" i="2"/>
  <c r="N170" i="2" s="1"/>
  <c r="N175" i="2" l="1"/>
  <c r="N174" i="2"/>
  <c r="N173" i="2"/>
  <c r="N17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Åkesson, Olof</author>
  </authors>
  <commentList>
    <comment ref="C84" authorId="0" shapeId="0" xr:uid="{69DF1CF6-580C-4DE8-B782-61765DBB92AE}">
      <text>
        <r>
          <rPr>
            <b/>
            <sz val="9"/>
            <color indexed="81"/>
            <rFont val="Tahoma"/>
            <family val="2"/>
          </rPr>
          <t>Åkesson, Olof:</t>
        </r>
        <r>
          <rPr>
            <sz val="9"/>
            <color indexed="81"/>
            <rFont val="Tahoma"/>
            <family val="2"/>
          </rPr>
          <t xml:space="preserve">
Sotånga och ånga som används för att producera kondensel räknas inte in i producerad ånga.</t>
        </r>
      </text>
    </comment>
    <comment ref="C85" authorId="0" shapeId="0" xr:uid="{709CCED9-D0C0-4984-B4B5-FB01F2BDAF74}">
      <text>
        <r>
          <rPr>
            <b/>
            <sz val="9"/>
            <color indexed="81"/>
            <rFont val="Tahoma"/>
            <family val="2"/>
          </rPr>
          <t>Åkesson, Olof:</t>
        </r>
        <r>
          <rPr>
            <sz val="9"/>
            <color indexed="81"/>
            <rFont val="Tahoma"/>
            <family val="2"/>
          </rPr>
          <t xml:space="preserve">
Sotånga och ånga som används för att producera kondensel räknas inte in i producerad ånga.</t>
        </r>
      </text>
    </comment>
  </commentList>
</comments>
</file>

<file path=xl/sharedStrings.xml><?xml version="1.0" encoding="utf-8"?>
<sst xmlns="http://schemas.openxmlformats.org/spreadsheetml/2006/main" count="821" uniqueCount="598">
  <si>
    <t>NAMN PÅ BRUK:</t>
  </si>
  <si>
    <t>PRODUKTION</t>
  </si>
  <si>
    <t>ELFÖRBRUKNING</t>
  </si>
  <si>
    <t>el ink</t>
  </si>
  <si>
    <t>el inköpt</t>
  </si>
  <si>
    <t>VÄRMEFÖRBRUKNING</t>
  </si>
  <si>
    <t>q turb</t>
  </si>
  <si>
    <t>q dir</t>
  </si>
  <si>
    <t>q elp</t>
  </si>
  <si>
    <t>ånga producerad i elpanna</t>
  </si>
  <si>
    <t>q ink</t>
  </si>
  <si>
    <t>br såld bark</t>
  </si>
  <si>
    <t>el br</t>
  </si>
  <si>
    <t>fossilt drivmedel (interna transporter), t.ex. bensin och diesel</t>
  </si>
  <si>
    <t>biodrivmedel (interna transporter), t.ex. biodiesel och etanol</t>
  </si>
  <si>
    <t>br driv fos</t>
  </si>
  <si>
    <t>br driv bio</t>
  </si>
  <si>
    <t>el gem</t>
  </si>
  <si>
    <t>q gem</t>
  </si>
  <si>
    <t>bränsle som används för att producera direktvärme för torkning av massa, t.ex. direkteldade flingtorkar</t>
  </si>
  <si>
    <t>el använd för värmeproduktion fördelad på torkning av avsalumassa</t>
  </si>
  <si>
    <t>bränsle som används för att producera värme i form av ånga eller hetvatten fördelad på produktionen av pumpmassa</t>
  </si>
  <si>
    <t>bränsle som används för att producera värme i form av ånga eller hetvatten fördelad på torkning av pumpmassa till avsalumassa</t>
  </si>
  <si>
    <t>fossilt bränsle som används för att producera värme i form av ånga eller hetvatten förderlad på produktionen av pumpmassa</t>
  </si>
  <si>
    <t>fossilt bränsle som används för att producera värme i form av ånga eller hetvatten fördelad på torkningen av massan</t>
  </si>
  <si>
    <t>Q tot brutto</t>
  </si>
  <si>
    <t>Q tot netto</t>
  </si>
  <si>
    <t>elförbrukning för produktion av värme i elpannor och el till övrig panndrift (användning av el som ”bränsle”)</t>
  </si>
  <si>
    <t>ADt</t>
  </si>
  <si>
    <t>TJ</t>
  </si>
  <si>
    <t>E1</t>
  </si>
  <si>
    <t>E2</t>
  </si>
  <si>
    <t>Q1</t>
  </si>
  <si>
    <t>Q2</t>
  </si>
  <si>
    <t>Q4</t>
  </si>
  <si>
    <t>Q3</t>
  </si>
  <si>
    <t>Gult med svart text = Beräknade data</t>
  </si>
  <si>
    <t>E3</t>
  </si>
  <si>
    <t>Orange = Kontroll</t>
  </si>
  <si>
    <t>Benämning</t>
  </si>
  <si>
    <t>Förklaring</t>
  </si>
  <si>
    <t>E4</t>
  </si>
  <si>
    <t>E5</t>
  </si>
  <si>
    <t>E6</t>
  </si>
  <si>
    <t>E7</t>
  </si>
  <si>
    <t>E8</t>
  </si>
  <si>
    <t>E9</t>
  </si>
  <si>
    <t>E10</t>
  </si>
  <si>
    <t>E11</t>
  </si>
  <si>
    <t>E12</t>
  </si>
  <si>
    <t>Blå = Beräknade nyckeltal</t>
  </si>
  <si>
    <t>BRÄNSLEFÖRBRUKNING FOSSIL</t>
  </si>
  <si>
    <t>Q6</t>
  </si>
  <si>
    <t>Q7</t>
  </si>
  <si>
    <t>Q5</t>
  </si>
  <si>
    <t>M1</t>
  </si>
  <si>
    <t>Q8</t>
  </si>
  <si>
    <t>Q9</t>
  </si>
  <si>
    <t>Q10</t>
  </si>
  <si>
    <t>Q11</t>
  </si>
  <si>
    <t>B1</t>
  </si>
  <si>
    <t>B2</t>
  </si>
  <si>
    <t>Förbrukning av värme för produktion av pumpmassa</t>
  </si>
  <si>
    <t>Förbrukning av värme för torkning av avsalumassa</t>
  </si>
  <si>
    <t>B6</t>
  </si>
  <si>
    <t>B7</t>
  </si>
  <si>
    <t>B9</t>
  </si>
  <si>
    <t>NYCKELTAL</t>
  </si>
  <si>
    <t>B11</t>
  </si>
  <si>
    <t>F3</t>
  </si>
  <si>
    <t>F4</t>
  </si>
  <si>
    <t>F5</t>
  </si>
  <si>
    <t>F6</t>
  </si>
  <si>
    <t>F7</t>
  </si>
  <si>
    <t>F8</t>
  </si>
  <si>
    <t>Fossilt bränsle för produktion av pumpmassa</t>
  </si>
  <si>
    <t>Fossilt bränsle för torkning av avsalumassa</t>
  </si>
  <si>
    <t>F9</t>
  </si>
  <si>
    <t>F10</t>
  </si>
  <si>
    <t>Kommentarer och noteringar</t>
  </si>
  <si>
    <t>q vtn</t>
  </si>
  <si>
    <t>Q12</t>
  </si>
  <si>
    <t>Q13</t>
  </si>
  <si>
    <t>fossil eldningsolja</t>
  </si>
  <si>
    <t>Kontroll (ska vara noll)</t>
  </si>
  <si>
    <t>B12</t>
  </si>
  <si>
    <t>B13</t>
  </si>
  <si>
    <t>B14</t>
  </si>
  <si>
    <t>B15</t>
  </si>
  <si>
    <t>Fossilt bränsle som används för produktion av ånga och varmvatten</t>
  </si>
  <si>
    <t>Bränsle som används för direktvärme</t>
  </si>
  <si>
    <t>fossilt bränsle som används för att producera direktvärme vid torkning av avsalumassa, t.ex. i direkteldade flingtorkar</t>
  </si>
  <si>
    <t>F2</t>
  </si>
  <si>
    <t>fossilt drivmedel och övrigt fossilt bränsle som används i verksamhet som kan hänföras till produktion av pumpmassa, t.ex. truckar på vedgården</t>
  </si>
  <si>
    <t>Bränsle för produktion av pumpmassa</t>
  </si>
  <si>
    <t>Bränsle för torkning av avsalumassa</t>
  </si>
  <si>
    <t>F11</t>
  </si>
  <si>
    <t>F12</t>
  </si>
  <si>
    <t>F13</t>
  </si>
  <si>
    <t>Ekvation</t>
  </si>
  <si>
    <t>F1</t>
  </si>
  <si>
    <t>Ma pump</t>
  </si>
  <si>
    <t>egen produktion av pumpmassa (inkl avsalumassa)</t>
  </si>
  <si>
    <t>M2</t>
  </si>
  <si>
    <t>Ma avsalu</t>
  </si>
  <si>
    <t>Ma ink</t>
  </si>
  <si>
    <t>M3</t>
  </si>
  <si>
    <t>inköpt massa</t>
  </si>
  <si>
    <t>P1</t>
  </si>
  <si>
    <t>Pa tot</t>
  </si>
  <si>
    <t>Slutprod</t>
  </si>
  <si>
    <t>MP1</t>
  </si>
  <si>
    <t>el pa uppm</t>
  </si>
  <si>
    <t>el pa gem</t>
  </si>
  <si>
    <t>el använd för värmeproduktion fördelad på produktion av pumpmassa</t>
  </si>
  <si>
    <t>el pa br</t>
  </si>
  <si>
    <t>el använd för värmeproduktion fördelad på själva pappersproduktionen</t>
  </si>
  <si>
    <t>E13</t>
  </si>
  <si>
    <t>E14</t>
  </si>
  <si>
    <t>E15</t>
  </si>
  <si>
    <t>E16</t>
  </si>
  <si>
    <t>El pa</t>
  </si>
  <si>
    <t>E17</t>
  </si>
  <si>
    <t>E18</t>
  </si>
  <si>
    <t>E19</t>
  </si>
  <si>
    <t>E20</t>
  </si>
  <si>
    <t>E21</t>
  </si>
  <si>
    <t>q pa uppm</t>
  </si>
  <si>
    <t>q pa gem</t>
  </si>
  <si>
    <t>Q14</t>
  </si>
  <si>
    <t>Q pa</t>
  </si>
  <si>
    <t>Förbrukning av värme för produktion av papper från pumpmassa</t>
  </si>
  <si>
    <t>Q15</t>
  </si>
  <si>
    <t>Q16</t>
  </si>
  <si>
    <t>Q17</t>
  </si>
  <si>
    <t>Q18</t>
  </si>
  <si>
    <t>Q19</t>
  </si>
  <si>
    <t>br pa dir</t>
  </si>
  <si>
    <t>br pa övr</t>
  </si>
  <si>
    <t>B3</t>
  </si>
  <si>
    <t>B4</t>
  </si>
  <si>
    <t>bränsle som används för att producera värme i form av ånga eller hetvatten fördelad på själva pappersproduktionen</t>
  </si>
  <si>
    <t>B5</t>
  </si>
  <si>
    <t>B8</t>
  </si>
  <si>
    <t>Br pa</t>
  </si>
  <si>
    <t>Bränsle för själva pappersproduktionen</t>
  </si>
  <si>
    <t>B16</t>
  </si>
  <si>
    <t>B17</t>
  </si>
  <si>
    <t>B18</t>
  </si>
  <si>
    <t>B19</t>
  </si>
  <si>
    <t>fossilt bränsle som används för själva pappersproduktionen</t>
  </si>
  <si>
    <t>fossilt drivmedel och övrigt fossilt bränsle som används i verksamhet som kan hänföras till torkningen av massa och efterföljande steg, t.ex. truckar som hanterar torkad massa</t>
  </si>
  <si>
    <t>fossilt bränsle som används för att producera värme i form av ånga eller hetvatten fördelad på själva pappersproduktionen</t>
  </si>
  <si>
    <t>F14</t>
  </si>
  <si>
    <t>F15</t>
  </si>
  <si>
    <t>Fossilt bränsle för själva pappersproduktionen</t>
  </si>
  <si>
    <t>Br pa fos</t>
  </si>
  <si>
    <t>F16</t>
  </si>
  <si>
    <t>F17</t>
  </si>
  <si>
    <t>F18</t>
  </si>
  <si>
    <t>F19</t>
  </si>
  <si>
    <t>F20</t>
  </si>
  <si>
    <t>Grönt med blå text = Fält för indata</t>
  </si>
  <si>
    <t>E22</t>
  </si>
  <si>
    <t>Självförsörjningsgrad el</t>
  </si>
  <si>
    <t>q gem rest</t>
  </si>
  <si>
    <t>Q20</t>
  </si>
  <si>
    <t>q prim ext</t>
  </si>
  <si>
    <t>br tork dir</t>
  </si>
  <si>
    <t>br pump övr</t>
  </si>
  <si>
    <t>br tork övr</t>
  </si>
  <si>
    <t>drivmedel och annat bränsle som används i verksamhet som kan hänföras till torkning av massa och efterföljande steg, t.ex. truckar för hantering av färdig produkt</t>
  </si>
  <si>
    <t>Kontroll, ska vara 0 (noll)</t>
  </si>
  <si>
    <t>drivmedel och annat bränsle som används i verksamhet som kan hänföras till produktion av pumpmassa, t.ex. truckar på vedgården</t>
  </si>
  <si>
    <t>drivmedel och annat bränsle som används i verksamhet som kan hänföras till själva pappersproduktionen, t.ex. truckar för hantering av färdig produkt</t>
  </si>
  <si>
    <t>Q pump</t>
  </si>
  <si>
    <t>Q tork</t>
  </si>
  <si>
    <t>q pump gem</t>
  </si>
  <si>
    <t>q tork gem</t>
  </si>
  <si>
    <t>B20</t>
  </si>
  <si>
    <t>B21</t>
  </si>
  <si>
    <t>B22</t>
  </si>
  <si>
    <t>B23</t>
  </si>
  <si>
    <t>Br pump</t>
  </si>
  <si>
    <t>Br tork</t>
  </si>
  <si>
    <t>B24</t>
  </si>
  <si>
    <t>B25</t>
  </si>
  <si>
    <t>B26</t>
  </si>
  <si>
    <t>F21</t>
  </si>
  <si>
    <t>el pump uppm</t>
  </si>
  <si>
    <t>el tork uppm</t>
  </si>
  <si>
    <t>Br dir inre</t>
  </si>
  <si>
    <t>Br dir yttre</t>
  </si>
  <si>
    <t>el använd för värmeproduktion fördelad på uppslagning av inköpt massa</t>
  </si>
  <si>
    <t>Förbrukning av värme för uppslagning av inköpt massa</t>
  </si>
  <si>
    <t>ton</t>
  </si>
  <si>
    <t>ADt + ton</t>
  </si>
  <si>
    <t>el uppsl uppm</t>
  </si>
  <si>
    <t>el pump gem</t>
  </si>
  <si>
    <t>el tork gem</t>
  </si>
  <si>
    <t>el uppsl gem</t>
  </si>
  <si>
    <t>q uppsl uppm</t>
  </si>
  <si>
    <t>q pump uppm</t>
  </si>
  <si>
    <t>q tork uppm</t>
  </si>
  <si>
    <t>q uppsl gem</t>
  </si>
  <si>
    <t>BRÄNSLEFÖRBRUKNING TOTALT</t>
  </si>
  <si>
    <t>drivmedel och annat bränsle som används i verksamhet som kan hänföras till uppslagning av inköpt massa</t>
  </si>
  <si>
    <t>Br övr</t>
  </si>
  <si>
    <t>br uppsl övr</t>
  </si>
  <si>
    <t>brutto förbrukning av värme vid massa- och pappersbruket, beräknad från värmeproduktion</t>
  </si>
  <si>
    <t>br tork dir fos</t>
  </si>
  <si>
    <t>br pa dir fos</t>
  </si>
  <si>
    <t>el gem förd pump</t>
  </si>
  <si>
    <t>el gem förd tork</t>
  </si>
  <si>
    <t>el gem förd uppsl</t>
  </si>
  <si>
    <t>q gem förd pump</t>
  </si>
  <si>
    <t>q gem förd tork</t>
  </si>
  <si>
    <t>q gem förd uppsl</t>
  </si>
  <si>
    <t>q gem förd pa</t>
  </si>
  <si>
    <t>el gem förd pa</t>
  </si>
  <si>
    <t>El uppsl</t>
  </si>
  <si>
    <t>El pump</t>
  </si>
  <si>
    <t>El tork</t>
  </si>
  <si>
    <t>bränsle som används för att producera värme i form av ånga eller hetvatten fördelad på uppslagning av inköpt massa</t>
  </si>
  <si>
    <t>Bränsle för uppslagning av inköpt massa</t>
  </si>
  <si>
    <t>fossilt bränsle som används för att producera värme i form av ånga eller hetvatten fördelad på uppslagning av inköpt massa</t>
  </si>
  <si>
    <t>Fossilt bränsle för uppslagning av inköpt massa</t>
  </si>
  <si>
    <t>q gem uppm</t>
  </si>
  <si>
    <t>summa  primärvärmeförbrukning uppmätt specifikt för de olika processavsnitten</t>
  </si>
  <si>
    <t>El tot tillf</t>
  </si>
  <si>
    <t>Total elförbrukning i massa- o pappersbruket beräknad från produktion och handel (tillförselsidan)</t>
  </si>
  <si>
    <t>summa elförbrukning som uppmätts specifikt för de olika processavsnitten</t>
  </si>
  <si>
    <t>el gem uppm</t>
  </si>
  <si>
    <t>uppmätt elförbrukning för gemensamma funktioner, dvs el som används för t.ex. vattenrening, kontor, underhållsverkstad och som inte används i elpannor för värmeproduktion</t>
  </si>
  <si>
    <t>el bal</t>
  </si>
  <si>
    <t>el gem rest</t>
  </si>
  <si>
    <t>resterande gemensam elförbrukning som inte tydligt kan fördelas till specifika processavsnitt</t>
  </si>
  <si>
    <t>el som förbrukas i gemensamma funktioner eller ingår i gemensam balanspost</t>
  </si>
  <si>
    <t>el pump br</t>
  </si>
  <si>
    <t>el tork br</t>
  </si>
  <si>
    <t>el uppsl br</t>
  </si>
  <si>
    <t>E23</t>
  </si>
  <si>
    <t>E24</t>
  </si>
  <si>
    <t>q sek ext</t>
  </si>
  <si>
    <t>q sek→pa</t>
  </si>
  <si>
    <t>q sek→tork</t>
  </si>
  <si>
    <t>q sek→pump</t>
  </si>
  <si>
    <t>q uppsl→sek</t>
  </si>
  <si>
    <t xml:space="preserve">q tork→sek </t>
  </si>
  <si>
    <t>q pump→sek</t>
  </si>
  <si>
    <t>q pa→sek</t>
  </si>
  <si>
    <t>sekundärvärme som används för torkning av avsalumassa</t>
  </si>
  <si>
    <t>sekundärvärme som används för uppslagning av inköpt massa</t>
  </si>
  <si>
    <t>sekundärvärme som används för själva pappersproduktionen </t>
  </si>
  <si>
    <t>värme som förbrukas i gemensamma funktioner eller ingår i gemensamma balansposter</t>
  </si>
  <si>
    <t>q sek→uppsl</t>
  </si>
  <si>
    <t>q prim bal</t>
  </si>
  <si>
    <t>q sek bal</t>
  </si>
  <si>
    <t>Q21</t>
  </si>
  <si>
    <t>η ext</t>
  </si>
  <si>
    <t>Br tot yttre</t>
  </si>
  <si>
    <r>
      <t xml:space="preserve">Summa bränsle direktvärme, yttre systemgräns </t>
    </r>
    <r>
      <rPr>
        <sz val="11"/>
        <color theme="1"/>
        <rFont val="Calibri"/>
        <family val="2"/>
        <scheme val="minor"/>
      </rPr>
      <t>(beräknad från bränsleslag)</t>
    </r>
  </si>
  <si>
    <t>Summa förbrukning av bränslen, inre systemgräns</t>
  </si>
  <si>
    <t>Summa förbrukning av bränslen, yttre systemgräns</t>
  </si>
  <si>
    <t>br eo fos dir</t>
  </si>
  <si>
    <t>br gas fos dir</t>
  </si>
  <si>
    <t>bark eller annat biobränsle som används för värmeproduktion vid bruket (förbränns i pannor eller används för direktvärme)</t>
  </si>
  <si>
    <t>andel av totalt använd bark och annat biobränsle som uppkommit vid bruket</t>
  </si>
  <si>
    <t>såld bark och annat fast biobränsle som uppkommit i vedhantering och renseri</t>
  </si>
  <si>
    <t>Kontroll balans direktvärme (ska vara noll)</t>
  </si>
  <si>
    <t>Br bio inre</t>
  </si>
  <si>
    <t>x bio eget</t>
  </si>
  <si>
    <t>Fossilt bränsle som används för direktvärme</t>
  </si>
  <si>
    <t>br pump övr fos</t>
  </si>
  <si>
    <t>br tork övr fos</t>
  </si>
  <si>
    <t>br pa övr fos</t>
  </si>
  <si>
    <t>fossilt drivmedel och övrigt bränsle som används i verksamhet som kan hänföras till uppslagning av inköpt massa, t ex truckar för mottagning av inköpt massa</t>
  </si>
  <si>
    <t>fossilt drivmedel och övrigt bränsle som används i verksamhet som kan hänföras till själva pappersproduktionen, t ex truckar för utlastning av färdig produkt</t>
  </si>
  <si>
    <t>Br dir fos</t>
  </si>
  <si>
    <t>Summa fossilt bränsle direktvärme (beräknat från bränsleslag)</t>
  </si>
  <si>
    <t>Summa fossilt bränsle direktvärme (beräknat från ändamål)</t>
  </si>
  <si>
    <t>Summa  övrigt fossilt bränsle (beräknat från bränsleslag)</t>
  </si>
  <si>
    <t>Summa  övrigt fossilt bränsle (beräknat från ändamål)</t>
  </si>
  <si>
    <t>Br övr fos</t>
  </si>
  <si>
    <t>Br pump fos</t>
  </si>
  <si>
    <t>Br tork fos</t>
  </si>
  <si>
    <t>del av gemensam elförbrukning (inkl gemensam balanspost) som kan fördelas till produktion av pumpmassa baserat på rimliga antaganden och uppskattningar</t>
  </si>
  <si>
    <t>del av gemensam elförbrukning (inkl gemensam balanspost) som kan fördelas till torkning av pumpmassa baserat på rimliga antaganden och uppskattningar</t>
  </si>
  <si>
    <t>del av gemensam elförbrukning (inkl gemensam balanspost) som kan fördelas  till uppslagning av massa baserat på rimliga antaganden och uppskattningar</t>
  </si>
  <si>
    <t>del av gemensam elförbrukning (inkl gemensam balanspost) som kan fördelas till pappersproduktionen baserat på rimliga antaganden och uppskattningar</t>
  </si>
  <si>
    <t>Q tot uppm</t>
  </si>
  <si>
    <t>Q22</t>
  </si>
  <si>
    <t>el proc uppm</t>
  </si>
  <si>
    <t>q proc uppm</t>
  </si>
  <si>
    <t>total uppmätt primärvärmeförbrukning</t>
  </si>
  <si>
    <t>uppmätt elförbrukning för produktion av pumpmassa</t>
  </si>
  <si>
    <t>uppmätt elförbrukning för uppslagning av inköpt massa</t>
  </si>
  <si>
    <t>uppmätt elförbrukning för torkning av pumpmassa till avsalumassa och efterföljande hantering</t>
  </si>
  <si>
    <t>uppmätt elförbrukning för själva pappersproduktionen</t>
  </si>
  <si>
    <t>Förbrukning av el för produktion av pumpmassa</t>
  </si>
  <si>
    <t>Förbrukning av el för torkning av avsalumassa</t>
  </si>
  <si>
    <t>Förbrukning av el för uppslagning av inköpt massa</t>
  </si>
  <si>
    <t>Förbrukning av el för produktion av papper från pumpmassa</t>
  </si>
  <si>
    <t>resterande gemensam värmeförbrukning som inte tydligt kan fördelas till produktion av pumpmassa, torkning av massa, uppslagning av inköpt massa eller själva pappersproduktionen</t>
  </si>
  <si>
    <t>Rosa = Celler där data hämtas från annan cell</t>
  </si>
  <si>
    <t>Br panna inre netto</t>
  </si>
  <si>
    <t>br eo fos panna</t>
  </si>
  <si>
    <t>br gas fos panna</t>
  </si>
  <si>
    <t>Br panna inre brutto</t>
  </si>
  <si>
    <t>Br panna yttre netto</t>
  </si>
  <si>
    <t>Br panna yttre, brutto</t>
  </si>
  <si>
    <t>br pump panna</t>
  </si>
  <si>
    <t>br tork panna</t>
  </si>
  <si>
    <t>br uppsl panna</t>
  </si>
  <si>
    <t>br pa panna</t>
  </si>
  <si>
    <t>Summa bränsle för värmeproduktion i pannor, yttre systemgräns, brutto</t>
  </si>
  <si>
    <t>Summa bränsle värmeproduktion i pannor, yttre systemgräns, netto</t>
  </si>
  <si>
    <t>br pump panna fos</t>
  </si>
  <si>
    <t>br tork panna fos</t>
  </si>
  <si>
    <t>br pa panna fos</t>
  </si>
  <si>
    <t>Br panna brutto fos</t>
  </si>
  <si>
    <t>Br panna netto fos</t>
  </si>
  <si>
    <t>Summa bränsle för värmeproduktion i pannor, inre systemgräns, brutto</t>
  </si>
  <si>
    <t>Summa bränsle för värmeproduktion i pannor, inre systemgräns, netto</t>
  </si>
  <si>
    <t>Summa fossilt bränsle för värmeproduktion i pannor, brutto</t>
  </si>
  <si>
    <t>Summa fossilt bränsle  för värmeproduktion i pannor, netto</t>
  </si>
  <si>
    <t>Br uppsl</t>
  </si>
  <si>
    <t>br uppsl övr fos</t>
  </si>
  <si>
    <t>br uppsl panna fos</t>
  </si>
  <si>
    <t>Br uppsl fos</t>
  </si>
  <si>
    <t>Br tot fos</t>
  </si>
  <si>
    <t>Summa fossilt bränsle</t>
  </si>
  <si>
    <t>SKOGENS MEKANISKA MASSA- OCH PAPPERSBRUK</t>
  </si>
  <si>
    <t>hetvatten som produceras i egen panna (t.ex. oljepanna eller elpanna)</t>
  </si>
  <si>
    <t>ånga som produceras i annan panna, ej är ansluten till turbin, eller elpanna</t>
  </si>
  <si>
    <t>egenproducerad värme i pannor</t>
  </si>
  <si>
    <t>q prod raff</t>
  </si>
  <si>
    <t>q prod tot</t>
  </si>
  <si>
    <t>summa egenproducerad värme inkl raffinörer</t>
  </si>
  <si>
    <t>q prod panna</t>
  </si>
  <si>
    <t>ånga eller hetvatten som köps in från extern leverantör</t>
  </si>
  <si>
    <t>Q23</t>
  </si>
  <si>
    <t>Q24</t>
  </si>
  <si>
    <t>bränsle som används för att producera direktvärme för själva pappersproduktionen, t.ex. för torkning av papper eller bestrykning</t>
  </si>
  <si>
    <t>B27</t>
  </si>
  <si>
    <t>br annat bio</t>
  </si>
  <si>
    <t>br annat fos</t>
  </si>
  <si>
    <t>bränsle för andra ändamål, fossilt</t>
  </si>
  <si>
    <t>bränsle för andra ändamål, bio</t>
  </si>
  <si>
    <t>fossilt bränsle för andra ändamål</t>
  </si>
  <si>
    <t>Fossilt bränsle övrigt, använt som drivmedel eller för annat ändamål än värme eller direktvärme</t>
  </si>
  <si>
    <t>Bränsle övrigt, använt som drivmedel eller för annat ändamål än värme eller direktvärme</t>
  </si>
  <si>
    <t>Br tot inre netto</t>
  </si>
  <si>
    <t>Bränsle som används för produktion av ånga och hetvatten i egna pannor</t>
  </si>
  <si>
    <t>br fast bio panna</t>
  </si>
  <si>
    <t>br flyt bio panna</t>
  </si>
  <si>
    <t>inköpta flytande biobränslen</t>
  </si>
  <si>
    <t>br gas bio panna</t>
  </si>
  <si>
    <t>inköpt biogas</t>
  </si>
  <si>
    <t>br bio ink fast</t>
  </si>
  <si>
    <t>inköpt bark, skogsflis och andra fasta biobränslen</t>
  </si>
  <si>
    <t>br fast bio dir</t>
  </si>
  <si>
    <t>br flyt bio dir</t>
  </si>
  <si>
    <t>br gas bio dir</t>
  </si>
  <si>
    <t xml:space="preserve">sekundärvärme som tillvaratas från torkningen av avsalumassa </t>
  </si>
  <si>
    <t xml:space="preserve">sekundärvärme som tillvaratas från uppslagningen av inköpt massa  </t>
  </si>
  <si>
    <t>sekundärvärme som tillvaratas från själva pappersproduktionen</t>
  </si>
  <si>
    <t>sekundärvärme som används för produktion av pumpmassa</t>
  </si>
  <si>
    <t>sekundärvärme från bruket som säljs till extern förbrukare</t>
  </si>
  <si>
    <t>q övrp</t>
  </si>
  <si>
    <t>uppmätt förbrukning av primärvärme för gemensamma funktioner (t.ex. värme för vattenrening, kontor, underhållsverkstad). Inkluderar all uppmätt primärvärmeförbrukning som ej direkt kan hänföras till någon specifik del av produktionen eller till friblåsning</t>
  </si>
  <si>
    <t xml:space="preserve">uppmätt friblåsning av ånga som därmed inte nyttiggörs i produktionen </t>
  </si>
  <si>
    <t>del av gemensam värmeförbrukning (inkl friblåsning och gemensam balanspost)  som kan fördelas till produktion av pumpmassa baserat på rimliga antaganden och uppskattningar</t>
  </si>
  <si>
    <t>del av gemensam värmeförbrukning (inkl friblåsning och gemensam balanspost)  som kan fördelas till torkning av avsalumassa baserat på rimliga antaganden och uppskattningar</t>
  </si>
  <si>
    <t>del av gemensam värmeförbrukning (inkl friblåsning och gemensam balanspost)  som kan fördelas till uppslagning av inköpt massa baserat på rimliga antaganden och uppskattningar</t>
  </si>
  <si>
    <t>del av gemensam värmeförbrukning (inkl friblåsning och gemensam balanspost)  som kan fördelas till själva pappersproduktionen baserat på rimliga antaganden och uppskattningar</t>
  </si>
  <si>
    <t>q fribl uppm</t>
  </si>
  <si>
    <t>gemensam elförbrukning som fördelats till, eller med utgångspunkt från andel av uppmätt förbrukning hänförts till produktion av pumpmassa</t>
  </si>
  <si>
    <t>gemensam elförbrukning som fördelats till, eller med utgångspunkt från andel av uppmätt förbrukning hänförts till torkning av pumpmassa till avsalumassa</t>
  </si>
  <si>
    <t>gemensam elförbrukning som fördelats till, eller med utgångspunkt från andel av uppmätt förbrukning hänförts till uppslagning av inköpt massa</t>
  </si>
  <si>
    <t>gemensam elförbrukning som fördelats till, eller med utgångspunkt från andel av uppmätt förbrukning hänförts till själva pappersproduktionen</t>
  </si>
  <si>
    <t>gemensam värmeförbrukning som fördelats till, eller med utgångspunkt från andel av uppmätt förbrukning hänförts till produktion av pumpmassa</t>
  </si>
  <si>
    <t>gemensam värmeförbrukning som fördelats till, eller med utgångspunkt från andel av uppmätt förbrukning hänförts till torkning av pumpmassa till avsalumassa</t>
  </si>
  <si>
    <t>gemensam värmeförbrukning som fördelats till, eller med utgångspunkt från andel av uppmätt förbrukning hänförts till uppslagning av inköpt massa</t>
  </si>
  <si>
    <t>gemensam värmeförbrukning som fördelats till, eller med utgångspunkt från andel av uppmätt förbrukning hänförts till själva pappersproduktionen</t>
  </si>
  <si>
    <t>Q25</t>
  </si>
  <si>
    <t>Q26</t>
  </si>
  <si>
    <t>Q27</t>
  </si>
  <si>
    <t>Q28</t>
  </si>
  <si>
    <t>METADATA</t>
  </si>
  <si>
    <t>Område</t>
  </si>
  <si>
    <t>Värde</t>
  </si>
  <si>
    <t>Kommentar</t>
  </si>
  <si>
    <t>Massa</t>
  </si>
  <si>
    <t>Blekning</t>
  </si>
  <si>
    <r>
      <t xml:space="preserve">Ange vilken/vilka typ(er) av blekning som används, och massaproduktion av respektive typ
</t>
    </r>
    <r>
      <rPr>
        <i/>
        <sz val="11"/>
        <color theme="1"/>
        <rFont val="Calibri"/>
        <family val="2"/>
        <scheme val="minor"/>
      </rPr>
      <t>[Infoga rader efter behov (om flera typer av blekning)]</t>
    </r>
  </si>
  <si>
    <t>Produktion av blekkemikalier</t>
  </si>
  <si>
    <t>Ange om använda blekkemikalier är inköpta eller egenproducerade</t>
  </si>
  <si>
    <t>-</t>
  </si>
  <si>
    <t>Papper</t>
  </si>
  <si>
    <t>Typ av papper/kartong</t>
  </si>
  <si>
    <r>
      <t xml:space="preserve">Ange vilken/vilka typ(er) av papper/kartong som produceras, och produktion av respektive typ
</t>
    </r>
    <r>
      <rPr>
        <i/>
        <sz val="11"/>
        <color theme="1"/>
        <rFont val="Calibri"/>
        <family val="2"/>
        <scheme val="minor"/>
      </rPr>
      <t>[Infoga rader efter behov (om flera typer av papper/kartong)]</t>
    </r>
  </si>
  <si>
    <t>Energisystem</t>
  </si>
  <si>
    <t>Turbiner</t>
  </si>
  <si>
    <t>Ångtryck</t>
  </si>
  <si>
    <r>
      <t xml:space="preserve">Lista de ångtryck som används i processen. 
</t>
    </r>
    <r>
      <rPr>
        <i/>
        <sz val="11"/>
        <color theme="1"/>
        <rFont val="Calibri"/>
        <family val="2"/>
        <scheme val="minor"/>
      </rPr>
      <t>[Infoga rader efter behov]</t>
    </r>
  </si>
  <si>
    <t>bar(a)</t>
  </si>
  <si>
    <t>[Kommentera vilka processavsnitt som använder respektive ångtryck]</t>
  </si>
  <si>
    <t>Produktion av specialprodukt</t>
  </si>
  <si>
    <r>
      <t xml:space="preserve">Lista de specialprodukter som produceras vid bruket, och produktion av respektive typ
</t>
    </r>
    <r>
      <rPr>
        <i/>
        <sz val="11"/>
        <color theme="1"/>
        <rFont val="Calibri"/>
        <family val="2"/>
        <scheme val="minor"/>
      </rPr>
      <t>[Infoga rader efter behov]</t>
    </r>
  </si>
  <si>
    <t>Grå = Indata, flerval</t>
  </si>
  <si>
    <t>ORT:</t>
  </si>
  <si>
    <t>SKOGEBORG</t>
  </si>
  <si>
    <t>Q uppsl</t>
  </si>
  <si>
    <t>El tot uppm</t>
  </si>
  <si>
    <t>Total uppmätt förbrukning av el i massa- och pappersbruket</t>
  </si>
  <si>
    <t>Special-produkter</t>
  </si>
  <si>
    <t>Enhet</t>
  </si>
  <si>
    <t>Vedråvara</t>
  </si>
  <si>
    <r>
      <t xml:space="preserve">Ange vilken typ av vedråvara som används
</t>
    </r>
    <r>
      <rPr>
        <i/>
        <sz val="11"/>
        <color theme="1"/>
        <rFont val="Calibri"/>
        <family val="2"/>
        <scheme val="minor"/>
      </rPr>
      <t>[Infoga rader efter behov (om flera typer av vedråvara)]</t>
    </r>
  </si>
  <si>
    <t>[Kommentera ungefärlig andel av respektive typ (om flera används)]</t>
  </si>
  <si>
    <t>Freeness</t>
  </si>
  <si>
    <t>ml CSF</t>
  </si>
  <si>
    <t>[Ange värden för huvudsakliga massatyper, ev intervall]</t>
  </si>
  <si>
    <t>Fyllmedel, bestrykning</t>
  </si>
  <si>
    <t>GJ/ADt</t>
  </si>
  <si>
    <t>MEKANISKT MASSABRUK, INTEGRERAT</t>
  </si>
  <si>
    <r>
      <t xml:space="preserve">Ange massans freeness
</t>
    </r>
    <r>
      <rPr>
        <i/>
        <sz val="11"/>
        <color theme="1"/>
        <rFont val="Calibri"/>
        <family val="2"/>
        <scheme val="minor"/>
      </rPr>
      <t>[Infoga rader efter behov (om flera typer av vedråvara)]</t>
    </r>
  </si>
  <si>
    <r>
      <t xml:space="preserve">Ange om fyllmedel eller bestrykningsmedel används (ökar pappersproduktionens vikt)
</t>
    </r>
    <r>
      <rPr>
        <i/>
        <sz val="11"/>
        <color theme="1"/>
        <rFont val="Calibri"/>
        <family val="2"/>
        <scheme val="minor"/>
      </rPr>
      <t>[Infoga rader efter behov]</t>
    </r>
  </si>
  <si>
    <r>
      <t xml:space="preserve">balanspost för </t>
    </r>
    <r>
      <rPr>
        <sz val="11"/>
        <color theme="1"/>
        <rFont val="Calibri"/>
        <family val="2"/>
        <scheme val="minor"/>
      </rPr>
      <t>el, avvikelse mellan tillförsel och uppmätt användning (inkluderar t.ex. förluster, ouppmätt förbrukning, mätfel osv)</t>
    </r>
  </si>
  <si>
    <t>GJ/ADt+ton</t>
  </si>
  <si>
    <t>GJ/ton</t>
  </si>
  <si>
    <r>
      <t>balanspost för primärvär</t>
    </r>
    <r>
      <rPr>
        <sz val="11"/>
        <color theme="1"/>
        <rFont val="Calibri"/>
        <family val="2"/>
        <scheme val="minor"/>
      </rPr>
      <t>me, avvikelse mellan produktion och uppmätt förbrukning (inkluderar förluster, ouppmätt förbrukning, mätfel osv)</t>
    </r>
  </si>
  <si>
    <r>
      <t>balanspost för sekundärvär</t>
    </r>
    <r>
      <rPr>
        <sz val="11"/>
        <color theme="1"/>
        <rFont val="Calibri"/>
        <family val="2"/>
        <scheme val="minor"/>
      </rPr>
      <t>me, avvikelse mellan summan av värmekällor och värmesänkor (hänförs till gemensamma funktioner)</t>
    </r>
  </si>
  <si>
    <t>egengenererat biobränsle (t.ex. bark) som uppkommit utanför ”inre systemgräns” på bruket (dvs i vedhantering/renseri)</t>
  </si>
  <si>
    <t>br bio eget fast</t>
  </si>
  <si>
    <t>övriga fossila bränslen, t.ex. gasol och naturgas</t>
  </si>
  <si>
    <r>
      <t xml:space="preserve">Ange typ av turbin (kondens/mottryck) och antal
</t>
    </r>
    <r>
      <rPr>
        <i/>
        <sz val="11"/>
        <color theme="1"/>
        <rFont val="Calibri"/>
        <family val="2"/>
        <scheme val="minor"/>
      </rPr>
      <t>[Infoga rader efter behov (om flera typer av turbiner)]</t>
    </r>
  </si>
  <si>
    <t>Fasta biobränslen - övergripande balans</t>
  </si>
  <si>
    <t>såld massa (avsalumassa)</t>
  </si>
  <si>
    <t>raffinörsånga som säljs till extern förbrukare eller dumpas</t>
  </si>
  <si>
    <t>Kontroll balans fast biobränsle (ska vara noll)</t>
  </si>
  <si>
    <t>el producerad som mottryckskraft i turbin vid bruket</t>
  </si>
  <si>
    <t>el prod kond</t>
  </si>
  <si>
    <t>el producerad som kondenskraft i turbin vid bruket</t>
  </si>
  <si>
    <t>q prim kond</t>
  </si>
  <si>
    <t>ånga som används för produktion av kondensel</t>
  </si>
  <si>
    <t>br ext prim värme</t>
  </si>
  <si>
    <t>bränsle som använts för att producera primärvärme som levereras externt (t.ex. till fjärrvärme)</t>
  </si>
  <si>
    <t>η kond</t>
  </si>
  <si>
    <t>bränsle som använts för att producera kondensel</t>
  </si>
  <si>
    <t>B28</t>
  </si>
  <si>
    <t>br ext prim värme fos</t>
  </si>
  <si>
    <t>η fos kond</t>
  </si>
  <si>
    <t>verkningsgrad för fossileldad energipanna som producerar ånga för kondenselproduktion. Sätts schablonmässigt till 90% om  verkningsgraden för pannan inte är känd. Lämnas tom om fossilt bränsle aldrig används vid kondensdrift.</t>
  </si>
  <si>
    <t>fossilt bränsle som gått åt för att producera kondensel</t>
  </si>
  <si>
    <t>F22</t>
  </si>
  <si>
    <t>se PM avsnitt 2.4. 'Värme' för ytterligare instruktioner om hur producerad och förbrukad ånga ska anges</t>
  </si>
  <si>
    <t>egengenererad och inköpt bark och annat fast biobränsle</t>
  </si>
  <si>
    <t>Barr - rundved</t>
  </si>
  <si>
    <t>Löv - rundved</t>
  </si>
  <si>
    <t>Väteperoxid</t>
  </si>
  <si>
    <t>Inköpta</t>
  </si>
  <si>
    <t>Tryckpapper</t>
  </si>
  <si>
    <t>Tidningspapper</t>
  </si>
  <si>
    <t>Fyllmedel</t>
  </si>
  <si>
    <t>Bestrykning</t>
  </si>
  <si>
    <t>Mottryck</t>
  </si>
  <si>
    <t>Biogas</t>
  </si>
  <si>
    <t>Mek massa</t>
  </si>
  <si>
    <t>Massatyp</t>
  </si>
  <si>
    <t>TMP</t>
  </si>
  <si>
    <t>Br tot inre netto alt</t>
  </si>
  <si>
    <t>Br pump alt</t>
  </si>
  <si>
    <t>Br tork alt</t>
  </si>
  <si>
    <t>Br uppsl alt</t>
  </si>
  <si>
    <t>Br pa alt</t>
  </si>
  <si>
    <t>B10</t>
  </si>
  <si>
    <t>B29</t>
  </si>
  <si>
    <t>B30</t>
  </si>
  <si>
    <t>B31</t>
  </si>
  <si>
    <t>B32</t>
  </si>
  <si>
    <t>B33</t>
  </si>
  <si>
    <t>B34</t>
  </si>
  <si>
    <t>B35</t>
  </si>
  <si>
    <t>B36</t>
  </si>
  <si>
    <t>B37</t>
  </si>
  <si>
    <t>B38</t>
  </si>
  <si>
    <t>primärvärme som levereras till extern förbrukare</t>
  </si>
  <si>
    <t>verkningsgrad för barkpanna eller annan energipanna som producerar ånga för kondenselproduktion.</t>
  </si>
  <si>
    <t>B39</t>
  </si>
  <si>
    <t>B40</t>
  </si>
  <si>
    <t>Br tot fos alt</t>
  </si>
  <si>
    <t>Br pump fos alt</t>
  </si>
  <si>
    <t>Br tork fos alt</t>
  </si>
  <si>
    <t>Br uppsl fos alt</t>
  </si>
  <si>
    <t>Br pa fos alt</t>
  </si>
  <si>
    <t>F23</t>
  </si>
  <si>
    <t>F24</t>
  </si>
  <si>
    <t>F25</t>
  </si>
  <si>
    <t>F26</t>
  </si>
  <si>
    <t>F27</t>
  </si>
  <si>
    <t>F28</t>
  </si>
  <si>
    <t>F29</t>
  </si>
  <si>
    <t>Q29</t>
  </si>
  <si>
    <t>E25</t>
  </si>
  <si>
    <t>%</t>
  </si>
  <si>
    <t>Elfförbrukning</t>
  </si>
  <si>
    <t>Värmeförbrukning</t>
  </si>
  <si>
    <t>Bränsleförbrukning</t>
  </si>
  <si>
    <t>Fossil bränsleförbrukning</t>
  </si>
  <si>
    <t>E26</t>
  </si>
  <si>
    <t>E27</t>
  </si>
  <si>
    <t>E28</t>
  </si>
  <si>
    <t>E29</t>
  </si>
  <si>
    <t>E30</t>
  </si>
  <si>
    <t>E31</t>
  </si>
  <si>
    <t>E32</t>
  </si>
  <si>
    <t xml:space="preserve"> - totalt för bruket per producerad mängd slutprodukt</t>
  </si>
  <si>
    <t xml:space="preserve"> - per producerad mängd pumpmassa</t>
  </si>
  <si>
    <t xml:space="preserve"> - för torkning, per producerad mängd avsalumassa</t>
  </si>
  <si>
    <t xml:space="preserve"> - per producerad mängd torkad avsalumassa</t>
  </si>
  <si>
    <t xml:space="preserve"> - per producerad mängd papper från pumpmassa</t>
  </si>
  <si>
    <t xml:space="preserve"> - per producerad mängd papper från inköpt massa</t>
  </si>
  <si>
    <t xml:space="preserve"> - för torkning per producerad mängd avsalumassa</t>
  </si>
  <si>
    <t xml:space="preserve"> - totalt per producerad mängd slutprodukt</t>
  </si>
  <si>
    <t xml:space="preserve"> - per producerad mängd slutprodukt</t>
  </si>
  <si>
    <t xml:space="preserve"> - per producerad mängd avsalumassa</t>
  </si>
  <si>
    <t>Sålda energiprodukter, inre systemgräns</t>
  </si>
  <si>
    <t>sålda energiprodukter (t.ex. biogas), exkl bark och annat biobränsle som uppkommer i vedhantering/renseri</t>
  </si>
  <si>
    <t>alt 0</t>
  </si>
  <si>
    <t>alt 1</t>
  </si>
  <si>
    <t xml:space="preserve"> -producerad raffinörsånga per producerad mängd pumpmassa</t>
  </si>
  <si>
    <t>Värmeåtervinning från raffinörer</t>
  </si>
  <si>
    <t>Versionsdatum för beräkningsmodellen</t>
  </si>
  <si>
    <t>Datum för aktuell beräkning</t>
  </si>
  <si>
    <t>Verksamhetsår som beräkningen avser</t>
  </si>
  <si>
    <t>OBS! Inlagda värden är endast till för att vara exempel på hur man lägger in data, och för kontroll av att formlerna fungerar. Data är mer eller mindre slumpvis valda och representerar inte något verkligt bruk.</t>
  </si>
  <si>
    <t>el prod mot</t>
  </si>
  <si>
    <t>netto förbrukning av värme vid massa- och pappersbruket, beräknad från värmeproduktion</t>
  </si>
  <si>
    <t>uppmätt förbrukning av primärvärme (inkl. raffinörsånga) för produktion av pumpmassa</t>
  </si>
  <si>
    <t>uppmätt förbrukning av primärvärme (inkl. raffinörsånga) för torkning av avsalumassa</t>
  </si>
  <si>
    <t>uppmätt förbrukning av primärvärme (inkl. raffinörsånga) för uppslagning av inköpt massa</t>
  </si>
  <si>
    <t>uppmätt förbrukning av primärvärme (inkl. raffinörsånga) för själva pappersproduktionen</t>
  </si>
  <si>
    <t>bark, spån och annat fast biobränsle</t>
  </si>
  <si>
    <t>Summa bränsle direktvärme, inre systemgräns (beräknad från bränsleslag)</t>
  </si>
  <si>
    <t>Summa bränsle direktvärme, inre systemgräns (beräknad från ändamål)</t>
  </si>
  <si>
    <t>Summa drivmedel och övrigt bränsle (beräknad från bränsleslag)</t>
  </si>
  <si>
    <t>Summa drivmedel och övrigt bränsle (beräknad från ändamål)</t>
  </si>
  <si>
    <t>η fos ext</t>
  </si>
  <si>
    <t>202X-XX-XX</t>
  </si>
  <si>
    <t>202X</t>
  </si>
  <si>
    <t>ånga som tillförs processen efter passage av mottrycksproduktion, dvs ånga ut från turbiner anslutna till fastbränslepanna eller annan panna</t>
  </si>
  <si>
    <t>direktreducerad ånga som tillförs processen från fastbränslepanna eller annan panna utan att passera mottrycksturbin</t>
  </si>
  <si>
    <t>F30</t>
  </si>
  <si>
    <t>F31</t>
  </si>
  <si>
    <t>F32</t>
  </si>
  <si>
    <t>F33</t>
  </si>
  <si>
    <t>F34</t>
  </si>
  <si>
    <t>Ange vilken typ av mekanisk massa som produceras</t>
  </si>
  <si>
    <t>br sålt inre</t>
  </si>
  <si>
    <t>br kondensel</t>
  </si>
  <si>
    <t>br kondensel fos</t>
  </si>
  <si>
    <t>el såld</t>
  </si>
  <si>
    <t>el såld till elnätet</t>
  </si>
  <si>
    <t>Alternativ 1: exkl bränsle till pannor, inre systemgräns</t>
  </si>
  <si>
    <t>Alternativ 1: enbart bränsle för annat ändamål än värmeproduktion i pannor, inre systemgräns</t>
  </si>
  <si>
    <t>Alternativ 2: all användning av bränsle (inkl pannor), men yttre systemgräns (används ej för nyckeltal)</t>
  </si>
  <si>
    <t>Alternativ 0: all bränsleförbrukning, inkl  bränsle till pannor, inre systemgräns</t>
  </si>
  <si>
    <t>Alternativ 0: all elanvändning, inkl el till elpannor</t>
  </si>
  <si>
    <t>Alternativ 1: exkl el som används i elpanna för värmeproduktion</t>
  </si>
  <si>
    <t>Alternativ 0: all fossil bränsleförbrukning, inkl  bränsle till pannor</t>
  </si>
  <si>
    <t>Alternativ 1: exkl bränsle till pannor</t>
  </si>
  <si>
    <t>Alternativ 1: enbart bränsle för annat ändamål än värmeproduktion i pannor</t>
  </si>
  <si>
    <r>
      <rPr>
        <b/>
        <sz val="11"/>
        <color theme="1"/>
        <rFont val="Calibri"/>
        <family val="2"/>
        <scheme val="minor"/>
      </rPr>
      <t xml:space="preserve">Övriga upplysningar </t>
    </r>
    <r>
      <rPr>
        <i/>
        <sz val="11"/>
        <color theme="1"/>
        <rFont val="Calibri"/>
        <family val="2"/>
        <scheme val="minor"/>
      </rPr>
      <t>(exempelvis: Om data bygger på annat än huvudsakligen kontinuerlig mätning; Viktiga skillnader jämfört med tidigare år; Viktiga skillnader jämfört med liknande bruk; Andra levererade nyttor och tjänster (t.ex. flexibilitet i effektuttag), som påverkar energianvändning; Övrigt som är viktigt att beakta vid tolkning av nyckeltalen)</t>
    </r>
  </si>
  <si>
    <t>el ext</t>
  </si>
  <si>
    <t>el som används i egna processer utanför systemgränsen för konventionell massa-/pappersproduktion (t.ex. för papperskonvertering)</t>
  </si>
  <si>
    <t>q raff såld</t>
  </si>
  <si>
    <t>q prim såld</t>
  </si>
  <si>
    <t>primärvärme som används i egna processer utanför systemgränsen för konventionell massa-/pappersproduktion (t.ex. för papperskonvertering)</t>
  </si>
  <si>
    <t>q sek såld</t>
  </si>
  <si>
    <t>sekundärvärme som används i egna processer utanför systemgränsen för konventionell massa-/pappersproduktion (t.ex. för papperskonvertering)</t>
  </si>
  <si>
    <t>verkningsgrad för barkpanna eller annan energipanna som producerar ånga som levereras externt eller används vid bruket, men i anläggning utanför systemgräns för konventionell massa/pappersproduktion. Om inte verkningsgraden för pannan är känd sätts den schablonmässigt till 85 %.</t>
  </si>
  <si>
    <t>br såld prim värme</t>
  </si>
  <si>
    <t>bränsle som använts för att producera primärvärme som används vid bruket, men utanför systemgränsen för massa- och pappersproduktionen</t>
  </si>
  <si>
    <t>B41</t>
  </si>
  <si>
    <t>br såld prim värme fos</t>
  </si>
  <si>
    <t>fossilt bränsle som använts för att producera primärvärme som levereras externt (t.ex. till fjärrvärme)</t>
  </si>
  <si>
    <t>fossilt bränsle som använts för att producera primärvärme som används vid bruket, men utanför systemgränsen för massa- och pappersproduktionen</t>
  </si>
  <si>
    <t>F35</t>
  </si>
  <si>
    <t>verkningsgrad för fossileldad energipanna som producerar ånga som levereras externt eller används vid bruket, men i anläggning utanför systemgräns för konventionell massa/pappersproduktion. Om inte verkningsgraden för pannan är känd sätts den schablonmässigt till 90 %. Lämnas tom om fossilt bränsle aldrig används för att producera sådan värme.</t>
  </si>
  <si>
    <t>produktion av papper och kartong (säljbar produkt, före ev konvertering)</t>
  </si>
  <si>
    <t xml:space="preserve">summa slutprodukter massa och papper </t>
  </si>
  <si>
    <t>sekundärvärme som tillvaratas från produktionen av pumpmassa, exkl raffinörsånga</t>
  </si>
  <si>
    <t xml:space="preserve"> Alternativ 0: värmeförbrukning inklusive raffinörsånga</t>
  </si>
  <si>
    <t xml:space="preserve"> Alternativ 1: exklusive raffinörsånga</t>
  </si>
  <si>
    <t xml:space="preserve"> -andel av brukets totala nettoförbrukning av värme som täcks av raffinörsånga </t>
  </si>
  <si>
    <t>ånga som produceras i ångomformare för ångåtervinning från raffinörer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</si>
</sst>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00"/>
    <numFmt numFmtId="167" formatCode="0.0%"/>
  </numFmts>
  <fonts count="33" x14ac:knownFonts="1">
    <font>
      <sz val="11"/>
      <color theme="1"/>
      <name val="Calibri"/>
      <family val="2"/>
      <scheme val="minor"/>
    </font>
    <font>
      <b/>
      <sz val="11"/>
      <color theme="1"/>
      <name val="Calibri"/>
      <family val="2"/>
      <scheme val="minor"/>
    </font>
    <font>
      <i/>
      <sz val="11"/>
      <color theme="1"/>
      <name val="Calibri"/>
      <family val="2"/>
      <scheme val="minor"/>
    </font>
    <font>
      <sz val="11"/>
      <color theme="3" tint="-0.249977111117893"/>
      <name val="Calibri"/>
      <family val="2"/>
      <scheme val="minor"/>
    </font>
    <font>
      <b/>
      <sz val="11"/>
      <color theme="3" tint="-0.249977111117893"/>
      <name val="Calibri"/>
      <family val="2"/>
      <scheme val="minor"/>
    </font>
    <font>
      <b/>
      <sz val="11"/>
      <color rgb="FF4B876C"/>
      <name val="Calibri"/>
      <family val="2"/>
      <scheme val="minor"/>
    </font>
    <font>
      <sz val="12"/>
      <color theme="1"/>
      <name val="Calibri"/>
      <family val="2"/>
      <scheme val="minor"/>
    </font>
    <font>
      <sz val="11"/>
      <name val="Calibri"/>
      <family val="2"/>
      <scheme val="minor"/>
    </font>
    <font>
      <b/>
      <sz val="11"/>
      <color rgb="FFFF0000"/>
      <name val="Calibri"/>
      <family val="2"/>
      <scheme val="minor"/>
    </font>
    <font>
      <sz val="11"/>
      <color theme="4"/>
      <name val="Calibri"/>
      <family val="2"/>
      <scheme val="minor"/>
    </font>
    <font>
      <sz val="8"/>
      <name val="Calibri"/>
      <family val="2"/>
      <scheme val="minor"/>
    </font>
    <font>
      <b/>
      <sz val="16"/>
      <color theme="1"/>
      <name val="Calibri"/>
      <family val="2"/>
      <scheme val="minor"/>
    </font>
    <font>
      <sz val="11"/>
      <color rgb="FF0070C0"/>
      <name val="Calibri"/>
      <family val="2"/>
      <scheme val="minor"/>
    </font>
    <font>
      <b/>
      <sz val="11"/>
      <color rgb="FF0070C0"/>
      <name val="Calibri"/>
      <family val="2"/>
      <scheme val="minor"/>
    </font>
    <font>
      <sz val="9"/>
      <color indexed="81"/>
      <name val="Tahoma"/>
      <family val="2"/>
    </font>
    <font>
      <b/>
      <sz val="9"/>
      <color indexed="81"/>
      <name val="Tahoma"/>
      <family val="2"/>
    </font>
    <font>
      <sz val="11"/>
      <color rgb="FFFF0000"/>
      <name val="Calibri"/>
      <family val="2"/>
      <scheme val="minor"/>
    </font>
    <font>
      <b/>
      <sz val="16"/>
      <color theme="3" tint="-0.249977111117893"/>
      <name val="Calibri"/>
      <family val="2"/>
      <scheme val="minor"/>
    </font>
    <font>
      <b/>
      <i/>
      <sz val="11"/>
      <color theme="1"/>
      <name val="Calibri"/>
      <family val="2"/>
      <scheme val="minor"/>
    </font>
    <font>
      <sz val="11"/>
      <color theme="1"/>
      <name val="Calibri"/>
      <family val="2"/>
    </font>
    <font>
      <sz val="11"/>
      <color theme="1"/>
      <name val="Calibri"/>
      <family val="2"/>
      <scheme val="minor"/>
    </font>
    <font>
      <b/>
      <sz val="11"/>
      <name val="Calibri"/>
      <family val="2"/>
      <scheme val="minor"/>
    </font>
    <font>
      <sz val="12"/>
      <color theme="1"/>
      <name val="Times New Roman"/>
      <family val="1"/>
    </font>
    <font>
      <b/>
      <i/>
      <sz val="11"/>
      <name val="Calibri"/>
      <family val="2"/>
      <scheme val="minor"/>
    </font>
    <font>
      <sz val="11"/>
      <color rgb="FF4B876C"/>
      <name val="Calibri"/>
      <family val="2"/>
      <scheme val="minor"/>
    </font>
    <font>
      <i/>
      <sz val="11"/>
      <color rgb="FFFF0000"/>
      <name val="Calibri"/>
      <family val="2"/>
      <scheme val="minor"/>
    </font>
    <font>
      <b/>
      <sz val="16"/>
      <color rgb="FFFF0000"/>
      <name val="Calibri"/>
      <family val="2"/>
      <scheme val="minor"/>
    </font>
    <font>
      <b/>
      <i/>
      <sz val="18"/>
      <color theme="1"/>
      <name val="Franklin Gothic Book"/>
      <family val="2"/>
    </font>
    <font>
      <b/>
      <sz val="16"/>
      <color rgb="FF0070C0"/>
      <name val="Calibri"/>
      <family val="2"/>
      <scheme val="minor"/>
    </font>
    <font>
      <i/>
      <sz val="11"/>
      <name val="Calibri"/>
      <family val="2"/>
      <scheme val="minor"/>
    </font>
    <font>
      <b/>
      <sz val="12"/>
      <name val="Calibri"/>
      <family val="2"/>
      <scheme val="minor"/>
    </font>
    <font>
      <b/>
      <i/>
      <sz val="12"/>
      <name val="Calibri"/>
      <family val="2"/>
      <scheme val="minor"/>
    </font>
    <font>
      <b/>
      <sz val="16"/>
      <name val="Calibri"/>
      <family val="2"/>
      <scheme val="minor"/>
    </font>
  </fonts>
  <fills count="11">
    <fill>
      <patternFill patternType="none"/>
    </fill>
    <fill>
      <patternFill patternType="gray125"/>
    </fill>
    <fill>
      <patternFill patternType="solid">
        <fgColor rgb="FFFFC000"/>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B0F0"/>
        <bgColor indexed="64"/>
      </patternFill>
    </fill>
    <fill>
      <patternFill patternType="solid">
        <fgColor theme="5" tint="0.59999389629810485"/>
        <bgColor indexed="64"/>
      </patternFill>
    </fill>
    <fill>
      <patternFill patternType="solid">
        <fgColor rgb="FF92D050"/>
        <bgColor indexed="64"/>
      </patternFill>
    </fill>
    <fill>
      <patternFill patternType="solid">
        <fgColor theme="6" tint="0.39997558519241921"/>
        <bgColor indexed="65"/>
      </patternFill>
    </fill>
    <fill>
      <patternFill patternType="solid">
        <fgColor theme="0" tint="-0.249977111117893"/>
        <bgColor indexed="64"/>
      </patternFill>
    </fill>
  </fills>
  <borders count="46">
    <border>
      <left/>
      <right/>
      <top/>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14996795556505021"/>
      </left>
      <right/>
      <top/>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s>
  <cellStyleXfs count="3">
    <xf numFmtId="0" fontId="0" fillId="0" borderId="0"/>
    <xf numFmtId="9" fontId="20" fillId="0" borderId="0" applyFont="0" applyFill="0" applyBorder="0" applyAlignment="0" applyProtection="0"/>
    <xf numFmtId="0" fontId="20" fillId="9" borderId="0" applyNumberFormat="0" applyBorder="0" applyAlignment="0" applyProtection="0"/>
  </cellStyleXfs>
  <cellXfs count="289">
    <xf numFmtId="0" fontId="0" fillId="0" borderId="0" xfId="0"/>
    <xf numFmtId="0" fontId="0" fillId="0" borderId="0" xfId="0" applyAlignment="1">
      <alignment wrapText="1"/>
    </xf>
    <xf numFmtId="0" fontId="0" fillId="0" borderId="1" xfId="0" applyBorder="1" applyAlignment="1">
      <alignment wrapText="1"/>
    </xf>
    <xf numFmtId="0" fontId="1" fillId="0" borderId="0" xfId="0" applyFont="1" applyAlignment="1">
      <alignment wrapText="1"/>
    </xf>
    <xf numFmtId="0" fontId="17" fillId="0" borderId="0" xfId="0" applyFont="1"/>
    <xf numFmtId="0" fontId="17" fillId="0" borderId="1" xfId="0" applyFont="1" applyBorder="1"/>
    <xf numFmtId="0" fontId="0" fillId="5" borderId="0" xfId="0" applyFill="1" applyAlignment="1">
      <alignment wrapText="1"/>
    </xf>
    <xf numFmtId="0" fontId="1" fillId="5" borderId="0" xfId="0" applyFont="1" applyFill="1" applyAlignment="1">
      <alignment wrapText="1"/>
    </xf>
    <xf numFmtId="0" fontId="4" fillId="0" borderId="1" xfId="0" applyFont="1" applyBorder="1" applyAlignment="1">
      <alignment wrapText="1"/>
    </xf>
    <xf numFmtId="0" fontId="3" fillId="0" borderId="0" xfId="0" applyFont="1" applyAlignment="1">
      <alignment wrapText="1"/>
    </xf>
    <xf numFmtId="3" fontId="9" fillId="5" borderId="0" xfId="0" applyNumberFormat="1" applyFont="1" applyFill="1" applyAlignment="1">
      <alignment wrapText="1"/>
    </xf>
    <xf numFmtId="0" fontId="3" fillId="5" borderId="0" xfId="0" applyFont="1" applyFill="1" applyAlignment="1">
      <alignment wrapText="1"/>
    </xf>
    <xf numFmtId="3" fontId="9" fillId="0" borderId="0" xfId="0" applyNumberFormat="1" applyFont="1" applyAlignment="1">
      <alignment wrapText="1"/>
    </xf>
    <xf numFmtId="0" fontId="6" fillId="0" borderId="0" xfId="0" applyFont="1" applyAlignment="1">
      <alignment wrapText="1"/>
    </xf>
    <xf numFmtId="0" fontId="16" fillId="0" borderId="0" xfId="0" applyFont="1" applyAlignment="1">
      <alignment wrapText="1"/>
    </xf>
    <xf numFmtId="3" fontId="0" fillId="0" borderId="0" xfId="0" applyNumberFormat="1" applyAlignment="1">
      <alignment wrapText="1"/>
    </xf>
    <xf numFmtId="0" fontId="16" fillId="5" borderId="0" xfId="0" applyFont="1" applyFill="1" applyAlignment="1">
      <alignment wrapText="1"/>
    </xf>
    <xf numFmtId="3" fontId="0" fillId="5" borderId="0" xfId="0" applyNumberFormat="1" applyFill="1" applyAlignment="1">
      <alignment wrapText="1"/>
    </xf>
    <xf numFmtId="0" fontId="2" fillId="0" borderId="0" xfId="0" applyFont="1" applyAlignment="1">
      <alignment wrapText="1"/>
    </xf>
    <xf numFmtId="0" fontId="0" fillId="0" borderId="9" xfId="0" applyBorder="1" applyAlignment="1">
      <alignment wrapText="1"/>
    </xf>
    <xf numFmtId="0" fontId="0" fillId="0" borderId="13" xfId="0" applyBorder="1" applyAlignment="1">
      <alignment wrapText="1"/>
    </xf>
    <xf numFmtId="0" fontId="7" fillId="0" borderId="0" xfId="0" applyFont="1" applyAlignment="1">
      <alignment wrapText="1"/>
    </xf>
    <xf numFmtId="0" fontId="1" fillId="0" borderId="9" xfId="0" applyFont="1" applyBorder="1" applyAlignment="1">
      <alignment wrapText="1"/>
    </xf>
    <xf numFmtId="0" fontId="1" fillId="0" borderId="10" xfId="0" applyFont="1" applyBorder="1" applyAlignment="1">
      <alignment horizontal="center" wrapText="1"/>
    </xf>
    <xf numFmtId="0" fontId="0" fillId="0" borderId="0" xfId="0" applyAlignment="1">
      <alignment horizontal="center" wrapText="1"/>
    </xf>
    <xf numFmtId="0" fontId="1" fillId="0" borderId="0" xfId="0" applyFont="1" applyAlignment="1">
      <alignment horizontal="center" wrapText="1"/>
    </xf>
    <xf numFmtId="0" fontId="1" fillId="0" borderId="17" xfId="0" applyFont="1" applyBorder="1" applyAlignment="1">
      <alignment wrapText="1"/>
    </xf>
    <xf numFmtId="0" fontId="1" fillId="0" borderId="18" xfId="0" applyFont="1" applyBorder="1" applyAlignment="1">
      <alignment wrapText="1"/>
    </xf>
    <xf numFmtId="0" fontId="18" fillId="0" borderId="9" xfId="0" applyFont="1" applyBorder="1" applyAlignment="1">
      <alignment wrapText="1"/>
    </xf>
    <xf numFmtId="0" fontId="0" fillId="0" borderId="0" xfId="0" applyAlignment="1">
      <alignment horizontal="right" wrapText="1"/>
    </xf>
    <xf numFmtId="0" fontId="0" fillId="0" borderId="1" xfId="0" applyBorder="1" applyAlignment="1">
      <alignment horizontal="right" wrapText="1"/>
    </xf>
    <xf numFmtId="0" fontId="7" fillId="0" borderId="1" xfId="0" applyFont="1" applyBorder="1" applyAlignment="1">
      <alignment horizontal="right" wrapText="1"/>
    </xf>
    <xf numFmtId="0" fontId="0" fillId="0" borderId="9" xfId="0" applyBorder="1" applyAlignment="1">
      <alignment horizontal="right" wrapText="1"/>
    </xf>
    <xf numFmtId="0" fontId="0" fillId="0" borderId="0" xfId="0" applyAlignment="1">
      <alignment horizontal="left" wrapText="1"/>
    </xf>
    <xf numFmtId="0" fontId="8" fillId="0" borderId="0" xfId="0" applyFont="1" applyAlignment="1">
      <alignment horizontal="left" wrapText="1"/>
    </xf>
    <xf numFmtId="0" fontId="5" fillId="0" borderId="0" xfId="0" applyFont="1" applyAlignment="1">
      <alignment horizontal="center" wrapText="1"/>
    </xf>
    <xf numFmtId="0" fontId="0" fillId="0" borderId="18" xfId="0" applyBorder="1" applyAlignment="1">
      <alignment horizontal="right" wrapText="1"/>
    </xf>
    <xf numFmtId="0" fontId="19" fillId="0" borderId="0" xfId="0" applyFont="1" applyAlignment="1">
      <alignment wrapText="1"/>
    </xf>
    <xf numFmtId="0" fontId="19" fillId="0" borderId="1" xfId="0" applyFont="1" applyBorder="1" applyAlignment="1">
      <alignment wrapText="1"/>
    </xf>
    <xf numFmtId="166" fontId="0" fillId="0" borderId="0" xfId="0" applyNumberFormat="1" applyAlignment="1">
      <alignment wrapText="1"/>
    </xf>
    <xf numFmtId="164" fontId="0" fillId="0" borderId="0" xfId="0" applyNumberFormat="1" applyAlignment="1">
      <alignment horizontal="right" wrapText="1"/>
    </xf>
    <xf numFmtId="2" fontId="0" fillId="0" borderId="0" xfId="0" applyNumberFormat="1" applyAlignment="1">
      <alignment wrapText="1"/>
    </xf>
    <xf numFmtId="164" fontId="0" fillId="0" borderId="0" xfId="0" applyNumberFormat="1" applyAlignment="1">
      <alignment wrapText="1"/>
    </xf>
    <xf numFmtId="0" fontId="0" fillId="2" borderId="1" xfId="0" applyFill="1" applyBorder="1" applyAlignment="1">
      <alignment horizontal="right" wrapText="1"/>
    </xf>
    <xf numFmtId="0" fontId="0" fillId="5" borderId="0" xfId="0" applyFill="1" applyAlignment="1">
      <alignment horizontal="center" wrapText="1"/>
    </xf>
    <xf numFmtId="3" fontId="7" fillId="0" borderId="0" xfId="0" applyNumberFormat="1" applyFont="1" applyAlignment="1">
      <alignment wrapText="1"/>
    </xf>
    <xf numFmtId="0" fontId="1" fillId="0" borderId="0" xfId="0" applyFont="1" applyAlignment="1">
      <alignment horizontal="left"/>
    </xf>
    <xf numFmtId="0" fontId="0" fillId="0" borderId="8" xfId="0" applyBorder="1" applyAlignment="1">
      <alignment horizontal="center" wrapText="1"/>
    </xf>
    <xf numFmtId="164" fontId="0" fillId="4" borderId="10" xfId="0" applyNumberFormat="1" applyFill="1" applyBorder="1" applyAlignment="1">
      <alignment horizontal="right" wrapText="1"/>
    </xf>
    <xf numFmtId="0" fontId="0" fillId="0" borderId="11" xfId="0" applyBorder="1" applyAlignment="1">
      <alignment horizontal="center" wrapText="1"/>
    </xf>
    <xf numFmtId="2" fontId="0" fillId="4" borderId="12" xfId="0" applyNumberFormat="1" applyFill="1" applyBorder="1" applyAlignment="1">
      <alignment wrapText="1"/>
    </xf>
    <xf numFmtId="0" fontId="0" fillId="0" borderId="13" xfId="0" applyBorder="1" applyAlignment="1">
      <alignment horizontal="center" wrapText="1"/>
    </xf>
    <xf numFmtId="164" fontId="0" fillId="4" borderId="14" xfId="0" applyNumberFormat="1" applyFill="1" applyBorder="1" applyAlignment="1">
      <alignment wrapText="1"/>
    </xf>
    <xf numFmtId="164" fontId="0" fillId="4" borderId="12" xfId="0" applyNumberFormat="1" applyFill="1" applyBorder="1" applyAlignment="1">
      <alignment horizontal="right" wrapText="1"/>
    </xf>
    <xf numFmtId="0" fontId="1" fillId="0" borderId="17" xfId="0" applyFont="1" applyBorder="1" applyAlignment="1">
      <alignment horizontal="center" wrapText="1"/>
    </xf>
    <xf numFmtId="1" fontId="0" fillId="4" borderId="12" xfId="0" applyNumberFormat="1" applyFill="1" applyBorder="1" applyAlignment="1">
      <alignment horizontal="right" wrapText="1"/>
    </xf>
    <xf numFmtId="1" fontId="0" fillId="4" borderId="12" xfId="0" applyNumberFormat="1" applyFill="1" applyBorder="1" applyAlignment="1">
      <alignment wrapText="1"/>
    </xf>
    <xf numFmtId="1" fontId="0" fillId="4" borderId="14" xfId="0" applyNumberFormat="1" applyFill="1" applyBorder="1" applyAlignment="1">
      <alignment wrapText="1"/>
    </xf>
    <xf numFmtId="0" fontId="1" fillId="0" borderId="8" xfId="0" applyFont="1" applyBorder="1" applyAlignment="1">
      <alignment horizontal="center" wrapText="1"/>
    </xf>
    <xf numFmtId="3" fontId="9" fillId="3" borderId="12" xfId="0" applyNumberFormat="1" applyFont="1" applyFill="1" applyBorder="1" applyAlignment="1">
      <alignment horizontal="left" wrapText="1"/>
    </xf>
    <xf numFmtId="3" fontId="7" fillId="4" borderId="14" xfId="0" applyNumberFormat="1" applyFont="1" applyFill="1" applyBorder="1" applyAlignment="1">
      <alignment horizontal="right" wrapText="1"/>
    </xf>
    <xf numFmtId="1" fontId="0" fillId="4" borderId="10" xfId="0" applyNumberFormat="1" applyFill="1" applyBorder="1" applyAlignment="1">
      <alignment horizontal="right" wrapText="1"/>
    </xf>
    <xf numFmtId="164" fontId="0" fillId="4" borderId="12" xfId="0" applyNumberFormat="1" applyFill="1" applyBorder="1" applyAlignment="1">
      <alignment wrapText="1"/>
    </xf>
    <xf numFmtId="3" fontId="7" fillId="2" borderId="14" xfId="0" applyNumberFormat="1" applyFont="1" applyFill="1" applyBorder="1" applyAlignment="1">
      <alignment horizontal="right" wrapText="1"/>
    </xf>
    <xf numFmtId="0" fontId="1" fillId="0" borderId="15" xfId="0" applyFont="1" applyBorder="1" applyAlignment="1">
      <alignment horizontal="center" wrapText="1"/>
    </xf>
    <xf numFmtId="3" fontId="0" fillId="4" borderId="12" xfId="0" applyNumberFormat="1" applyFill="1" applyBorder="1" applyAlignment="1">
      <alignment horizontal="right" wrapText="1"/>
    </xf>
    <xf numFmtId="3" fontId="0" fillId="4" borderId="12" xfId="0" applyNumberFormat="1" applyFill="1" applyBorder="1" applyAlignment="1">
      <alignment wrapText="1"/>
    </xf>
    <xf numFmtId="3" fontId="0" fillId="4" borderId="14" xfId="0" applyNumberFormat="1" applyFill="1" applyBorder="1" applyAlignment="1">
      <alignment wrapText="1"/>
    </xf>
    <xf numFmtId="3" fontId="0" fillId="4" borderId="10" xfId="0" applyNumberFormat="1" applyFill="1" applyBorder="1" applyAlignment="1">
      <alignment horizontal="right" wrapText="1"/>
    </xf>
    <xf numFmtId="164" fontId="0" fillId="4" borderId="14" xfId="0" applyNumberFormat="1" applyFill="1" applyBorder="1" applyAlignment="1">
      <alignment horizontal="right" wrapText="1"/>
    </xf>
    <xf numFmtId="3" fontId="21" fillId="0" borderId="12" xfId="0" applyNumberFormat="1" applyFont="1" applyBorder="1" applyAlignment="1">
      <alignment horizontal="center" wrapText="1"/>
    </xf>
    <xf numFmtId="3" fontId="21" fillId="0" borderId="12" xfId="0" applyNumberFormat="1" applyFont="1" applyBorder="1" applyAlignment="1">
      <alignment horizontal="left" wrapText="1"/>
    </xf>
    <xf numFmtId="0" fontId="7" fillId="0" borderId="0" xfId="0" applyFont="1" applyAlignment="1">
      <alignment horizontal="left" wrapText="1"/>
    </xf>
    <xf numFmtId="0" fontId="0" fillId="0" borderId="1" xfId="0" applyBorder="1" applyAlignment="1">
      <alignment horizontal="left" wrapText="1"/>
    </xf>
    <xf numFmtId="0" fontId="7" fillId="0" borderId="9" xfId="0" applyFont="1" applyBorder="1" applyAlignment="1">
      <alignment horizontal="right" wrapText="1"/>
    </xf>
    <xf numFmtId="0" fontId="22" fillId="0" borderId="0" xfId="0" applyFont="1" applyAlignment="1">
      <alignment horizontal="left" vertical="center" indent="12"/>
    </xf>
    <xf numFmtId="0" fontId="7" fillId="0" borderId="0" xfId="0" applyFont="1" applyAlignment="1">
      <alignment horizontal="right" wrapText="1"/>
    </xf>
    <xf numFmtId="4" fontId="7" fillId="4" borderId="12" xfId="0" applyNumberFormat="1" applyFont="1" applyFill="1" applyBorder="1" applyAlignment="1">
      <alignment horizontal="right" wrapText="1"/>
    </xf>
    <xf numFmtId="3" fontId="7" fillId="4" borderId="12" xfId="0" applyNumberFormat="1" applyFont="1" applyFill="1" applyBorder="1" applyAlignment="1">
      <alignment horizontal="right" wrapText="1"/>
    </xf>
    <xf numFmtId="3" fontId="7" fillId="4" borderId="12" xfId="0" applyNumberFormat="1" applyFont="1" applyFill="1" applyBorder="1" applyAlignment="1">
      <alignment wrapText="1"/>
    </xf>
    <xf numFmtId="0" fontId="11" fillId="0" borderId="20" xfId="0" applyFont="1" applyBorder="1"/>
    <xf numFmtId="0" fontId="1" fillId="0" borderId="21" xfId="0" applyFont="1" applyBorder="1" applyAlignment="1">
      <alignment wrapText="1"/>
    </xf>
    <xf numFmtId="0" fontId="23" fillId="0" borderId="9" xfId="0" applyFont="1" applyBorder="1" applyAlignment="1">
      <alignment wrapText="1"/>
    </xf>
    <xf numFmtId="0" fontId="23" fillId="0" borderId="9" xfId="0" applyFont="1" applyBorder="1" applyAlignment="1">
      <alignment horizontal="left" wrapText="1"/>
    </xf>
    <xf numFmtId="0" fontId="1" fillId="0" borderId="0" xfId="0" applyFont="1"/>
    <xf numFmtId="0" fontId="24" fillId="0" borderId="0" xfId="0" applyFont="1" applyAlignment="1">
      <alignment wrapText="1"/>
    </xf>
    <xf numFmtId="0" fontId="1" fillId="0" borderId="18" xfId="0" applyFont="1" applyBorder="1" applyAlignment="1">
      <alignment horizontal="center" wrapText="1"/>
    </xf>
    <xf numFmtId="3" fontId="9" fillId="0" borderId="22" xfId="0" applyNumberFormat="1" applyFont="1" applyBorder="1" applyAlignment="1">
      <alignment horizontal="left" wrapText="1"/>
    </xf>
    <xf numFmtId="0" fontId="0" fillId="0" borderId="23" xfId="0" applyBorder="1" applyAlignment="1">
      <alignment wrapText="1"/>
    </xf>
    <xf numFmtId="3" fontId="9" fillId="0" borderId="24" xfId="0" applyNumberFormat="1" applyFont="1" applyBorder="1" applyAlignment="1">
      <alignment horizontal="left" wrapText="1"/>
    </xf>
    <xf numFmtId="0" fontId="0" fillId="0" borderId="12" xfId="0" applyBorder="1" applyAlignment="1">
      <alignment wrapText="1"/>
    </xf>
    <xf numFmtId="0" fontId="1" fillId="9" borderId="24" xfId="2" applyFont="1" applyBorder="1"/>
    <xf numFmtId="0" fontId="1" fillId="0" borderId="24" xfId="0" applyFont="1" applyBorder="1"/>
    <xf numFmtId="0" fontId="1" fillId="0" borderId="0" xfId="0" quotePrefix="1" applyFont="1"/>
    <xf numFmtId="0" fontId="1" fillId="0" borderId="23" xfId="0" applyFont="1" applyBorder="1"/>
    <xf numFmtId="0" fontId="0" fillId="0" borderId="23" xfId="0" quotePrefix="1" applyBorder="1" applyAlignment="1">
      <alignment wrapText="1"/>
    </xf>
    <xf numFmtId="0" fontId="2" fillId="0" borderId="12" xfId="0" applyFont="1" applyBorder="1"/>
    <xf numFmtId="0" fontId="0" fillId="0" borderId="12" xfId="0" applyBorder="1"/>
    <xf numFmtId="0" fontId="1" fillId="0" borderId="25" xfId="2" applyFont="1" applyFill="1" applyBorder="1"/>
    <xf numFmtId="3" fontId="9" fillId="0" borderId="25" xfId="0" applyNumberFormat="1" applyFont="1" applyBorder="1" applyAlignment="1">
      <alignment horizontal="left" wrapText="1"/>
    </xf>
    <xf numFmtId="0" fontId="1" fillId="0" borderId="0" xfId="2" applyFont="1" applyFill="1" applyBorder="1"/>
    <xf numFmtId="0" fontId="0" fillId="0" borderId="26" xfId="0" applyBorder="1"/>
    <xf numFmtId="49" fontId="13" fillId="3" borderId="2" xfId="0" applyNumberFormat="1" applyFont="1" applyFill="1" applyBorder="1"/>
    <xf numFmtId="49" fontId="13" fillId="3" borderId="16" xfId="0" applyNumberFormat="1" applyFont="1" applyFill="1" applyBorder="1"/>
    <xf numFmtId="0" fontId="1" fillId="4" borderId="3" xfId="0" applyFont="1" applyFill="1" applyBorder="1"/>
    <xf numFmtId="0" fontId="1" fillId="4" borderId="4" xfId="0" applyFont="1" applyFill="1" applyBorder="1"/>
    <xf numFmtId="0" fontId="1" fillId="6" borderId="3" xfId="0" applyFont="1" applyFill="1" applyBorder="1"/>
    <xf numFmtId="0" fontId="1" fillId="6" borderId="4" xfId="0" applyFont="1" applyFill="1" applyBorder="1"/>
    <xf numFmtId="0" fontId="1" fillId="2" borderId="3" xfId="0" applyFont="1" applyFill="1" applyBorder="1"/>
    <xf numFmtId="0" fontId="1" fillId="2" borderId="4" xfId="0" applyFont="1" applyFill="1" applyBorder="1"/>
    <xf numFmtId="0" fontId="1" fillId="7" borderId="3" xfId="0" applyFont="1" applyFill="1" applyBorder="1"/>
    <xf numFmtId="0" fontId="1" fillId="7" borderId="4" xfId="0" applyFont="1" applyFill="1" applyBorder="1"/>
    <xf numFmtId="0" fontId="1" fillId="9" borderId="5" xfId="2" applyFont="1" applyBorder="1"/>
    <xf numFmtId="0" fontId="1" fillId="9" borderId="7" xfId="2" applyFont="1" applyBorder="1"/>
    <xf numFmtId="0" fontId="1" fillId="9" borderId="23" xfId="2" applyFont="1" applyBorder="1"/>
    <xf numFmtId="0" fontId="1" fillId="0" borderId="12" xfId="0" applyFont="1" applyBorder="1" applyAlignment="1">
      <alignment horizontal="center" wrapText="1"/>
    </xf>
    <xf numFmtId="0" fontId="1" fillId="0" borderId="21" xfId="0" applyFont="1" applyBorder="1"/>
    <xf numFmtId="0" fontId="0" fillId="0" borderId="21" xfId="0" applyBorder="1" applyAlignment="1">
      <alignment wrapText="1"/>
    </xf>
    <xf numFmtId="3" fontId="9" fillId="3" borderId="10" xfId="0" applyNumberFormat="1" applyFont="1" applyFill="1" applyBorder="1" applyAlignment="1">
      <alignment horizontal="left" wrapText="1"/>
    </xf>
    <xf numFmtId="0" fontId="12" fillId="3" borderId="12" xfId="0" applyFont="1" applyFill="1" applyBorder="1" applyAlignment="1">
      <alignment horizontal="left" wrapText="1"/>
    </xf>
    <xf numFmtId="3" fontId="12" fillId="3" borderId="14" xfId="0" applyNumberFormat="1" applyFont="1" applyFill="1" applyBorder="1" applyAlignment="1">
      <alignment horizontal="left" wrapText="1"/>
    </xf>
    <xf numFmtId="0" fontId="0" fillId="0" borderId="17" xfId="0" applyBorder="1" applyAlignment="1">
      <alignment horizontal="center" wrapText="1"/>
    </xf>
    <xf numFmtId="3" fontId="0" fillId="4" borderId="15" xfId="0" applyNumberFormat="1" applyFill="1" applyBorder="1" applyAlignment="1">
      <alignment wrapText="1"/>
    </xf>
    <xf numFmtId="3" fontId="12" fillId="3" borderId="12" xfId="0" applyNumberFormat="1" applyFont="1" applyFill="1" applyBorder="1" applyAlignment="1">
      <alignment horizontal="left" wrapText="1"/>
    </xf>
    <xf numFmtId="0" fontId="1" fillId="0" borderId="11" xfId="0" applyFont="1" applyBorder="1" applyAlignment="1">
      <alignment horizontal="center" wrapText="1"/>
    </xf>
    <xf numFmtId="3" fontId="7" fillId="2" borderId="12" xfId="0" applyNumberFormat="1" applyFont="1" applyFill="1" applyBorder="1" applyAlignment="1">
      <alignment wrapText="1"/>
    </xf>
    <xf numFmtId="4" fontId="9" fillId="3" borderId="12" xfId="0" applyNumberFormat="1" applyFont="1" applyFill="1" applyBorder="1" applyAlignment="1">
      <alignment horizontal="left" wrapText="1"/>
    </xf>
    <xf numFmtId="3" fontId="12" fillId="0" borderId="10" xfId="0" applyNumberFormat="1" applyFont="1" applyBorder="1" applyAlignment="1">
      <alignment wrapText="1"/>
    </xf>
    <xf numFmtId="3" fontId="7" fillId="2" borderId="14" xfId="0" applyNumberFormat="1" applyFont="1" applyFill="1" applyBorder="1" applyAlignment="1">
      <alignment wrapText="1"/>
    </xf>
    <xf numFmtId="3" fontId="7" fillId="0" borderId="10" xfId="0" applyNumberFormat="1" applyFont="1" applyBorder="1" applyAlignment="1">
      <alignment wrapText="1"/>
    </xf>
    <xf numFmtId="3" fontId="7" fillId="7" borderId="12" xfId="0" applyNumberFormat="1" applyFont="1" applyFill="1" applyBorder="1" applyAlignment="1">
      <alignment horizontal="left" wrapText="1"/>
    </xf>
    <xf numFmtId="3" fontId="7" fillId="4" borderId="14" xfId="0" applyNumberFormat="1" applyFont="1" applyFill="1" applyBorder="1" applyAlignment="1">
      <alignment wrapText="1"/>
    </xf>
    <xf numFmtId="3" fontId="0" fillId="0" borderId="10" xfId="0" applyNumberFormat="1" applyBorder="1" applyAlignment="1">
      <alignment horizontal="right" wrapText="1"/>
    </xf>
    <xf numFmtId="0" fontId="16" fillId="0" borderId="23" xfId="0" quotePrefix="1" applyFont="1" applyBorder="1" applyAlignment="1">
      <alignment wrapText="1"/>
    </xf>
    <xf numFmtId="0" fontId="8" fillId="0" borderId="0" xfId="0" applyFont="1"/>
    <xf numFmtId="0" fontId="25" fillId="0" borderId="12" xfId="0" applyFont="1" applyBorder="1"/>
    <xf numFmtId="0" fontId="26" fillId="0" borderId="0" xfId="0" applyFont="1"/>
    <xf numFmtId="0" fontId="27" fillId="0" borderId="0" xfId="0" applyFont="1"/>
    <xf numFmtId="0" fontId="27" fillId="0" borderId="0" xfId="0" applyFont="1" applyAlignment="1">
      <alignment horizontal="center" wrapText="1"/>
    </xf>
    <xf numFmtId="0" fontId="2" fillId="0" borderId="12" xfId="0" applyFont="1" applyBorder="1" applyAlignment="1">
      <alignment horizontal="left" wrapText="1"/>
    </xf>
    <xf numFmtId="3" fontId="0" fillId="7" borderId="12" xfId="0" applyNumberFormat="1" applyFill="1" applyBorder="1" applyAlignment="1">
      <alignment horizontal="left" wrapText="1"/>
    </xf>
    <xf numFmtId="3" fontId="16" fillId="0" borderId="11" xfId="0" applyNumberFormat="1" applyFont="1" applyBorder="1" applyAlignment="1">
      <alignment horizontal="right" wrapText="1"/>
    </xf>
    <xf numFmtId="0" fontId="1" fillId="0" borderId="28" xfId="0" applyFont="1" applyBorder="1" applyAlignment="1">
      <alignment horizontal="center" wrapText="1"/>
    </xf>
    <xf numFmtId="3" fontId="13" fillId="3" borderId="0" xfId="0" applyNumberFormat="1" applyFont="1" applyFill="1" applyAlignment="1">
      <alignment horizontal="right" wrapText="1"/>
    </xf>
    <xf numFmtId="3" fontId="9" fillId="3" borderId="22" xfId="0" applyNumberFormat="1" applyFont="1" applyFill="1" applyBorder="1" applyAlignment="1">
      <alignment horizontal="right" wrapText="1"/>
    </xf>
    <xf numFmtId="3" fontId="9" fillId="3" borderId="24" xfId="0" applyNumberFormat="1" applyFont="1" applyFill="1" applyBorder="1" applyAlignment="1">
      <alignment horizontal="right" wrapText="1"/>
    </xf>
    <xf numFmtId="3" fontId="12" fillId="3" borderId="24" xfId="0" applyNumberFormat="1" applyFont="1" applyFill="1" applyBorder="1" applyAlignment="1">
      <alignment horizontal="right" wrapText="1"/>
    </xf>
    <xf numFmtId="0" fontId="21" fillId="0" borderId="0" xfId="0" applyFont="1"/>
    <xf numFmtId="0" fontId="7" fillId="0" borderId="12" xfId="0" applyFont="1" applyBorder="1" applyAlignment="1">
      <alignment wrapText="1"/>
    </xf>
    <xf numFmtId="2" fontId="16" fillId="0" borderId="9" xfId="0" applyNumberFormat="1" applyFont="1" applyBorder="1" applyAlignment="1">
      <alignment horizontal="right" wrapText="1"/>
    </xf>
    <xf numFmtId="3" fontId="16" fillId="0" borderId="0" xfId="0" applyNumberFormat="1" applyFont="1" applyAlignment="1">
      <alignment wrapText="1"/>
    </xf>
    <xf numFmtId="1" fontId="16" fillId="0" borderId="0" xfId="0" applyNumberFormat="1" applyFont="1" applyAlignment="1">
      <alignment wrapText="1"/>
    </xf>
    <xf numFmtId="0" fontId="1" fillId="0" borderId="0" xfId="0" applyFont="1" applyAlignment="1">
      <alignment horizontal="left" wrapText="1"/>
    </xf>
    <xf numFmtId="0" fontId="7" fillId="0" borderId="0" xfId="0" applyFont="1"/>
    <xf numFmtId="0" fontId="0" fillId="0" borderId="30" xfId="0" applyBorder="1" applyAlignment="1">
      <alignment wrapText="1"/>
    </xf>
    <xf numFmtId="0" fontId="21" fillId="0" borderId="36" xfId="0" applyFont="1" applyBorder="1" applyAlignment="1">
      <alignment wrapText="1"/>
    </xf>
    <xf numFmtId="0" fontId="21" fillId="0" borderId="37" xfId="0" applyFont="1" applyBorder="1" applyAlignment="1">
      <alignment wrapText="1"/>
    </xf>
    <xf numFmtId="1" fontId="21" fillId="0" borderId="37" xfId="0" applyNumberFormat="1" applyFont="1" applyBorder="1" applyAlignment="1">
      <alignment wrapText="1"/>
    </xf>
    <xf numFmtId="1" fontId="21" fillId="0" borderId="38" xfId="0" applyNumberFormat="1" applyFont="1" applyBorder="1" applyAlignment="1">
      <alignment wrapText="1"/>
    </xf>
    <xf numFmtId="0" fontId="16" fillId="0" borderId="21" xfId="0" applyFont="1" applyBorder="1" applyAlignment="1">
      <alignment vertical="center"/>
    </xf>
    <xf numFmtId="0" fontId="21" fillId="0" borderId="14" xfId="0" applyFont="1" applyBorder="1" applyAlignment="1">
      <alignment wrapText="1"/>
    </xf>
    <xf numFmtId="0" fontId="21" fillId="0" borderId="12" xfId="0" applyFont="1" applyBorder="1" applyAlignment="1">
      <alignment wrapText="1"/>
    </xf>
    <xf numFmtId="1" fontId="21" fillId="0" borderId="12" xfId="0" applyNumberFormat="1" applyFont="1" applyBorder="1" applyAlignment="1">
      <alignment wrapText="1"/>
    </xf>
    <xf numFmtId="1" fontId="21" fillId="0" borderId="39" xfId="0" applyNumberFormat="1" applyFont="1" applyBorder="1" applyAlignment="1">
      <alignment wrapText="1"/>
    </xf>
    <xf numFmtId="0" fontId="21" fillId="0" borderId="14" xfId="0" applyFont="1" applyBorder="1" applyAlignment="1">
      <alignment horizontal="center" wrapText="1"/>
    </xf>
    <xf numFmtId="0" fontId="21" fillId="0" borderId="44" xfId="0" applyFont="1" applyBorder="1" applyAlignment="1">
      <alignment wrapText="1"/>
    </xf>
    <xf numFmtId="0" fontId="21" fillId="0" borderId="38" xfId="0" applyFont="1" applyBorder="1" applyAlignment="1">
      <alignment wrapText="1"/>
    </xf>
    <xf numFmtId="0" fontId="0" fillId="0" borderId="11" xfId="0" applyBorder="1" applyAlignment="1">
      <alignment wrapText="1"/>
    </xf>
    <xf numFmtId="3" fontId="7" fillId="4" borderId="10" xfId="0" applyNumberFormat="1" applyFont="1" applyFill="1" applyBorder="1" applyAlignment="1">
      <alignment horizontal="right" wrapText="1"/>
    </xf>
    <xf numFmtId="0" fontId="21" fillId="0" borderId="28" xfId="0" applyFont="1" applyBorder="1"/>
    <xf numFmtId="0" fontId="11" fillId="0" borderId="8" xfId="0" applyFont="1" applyBorder="1" applyAlignment="1">
      <alignment horizontal="right" wrapText="1"/>
    </xf>
    <xf numFmtId="14" fontId="28" fillId="3" borderId="10" xfId="0" applyNumberFormat="1" applyFont="1" applyFill="1" applyBorder="1" applyAlignment="1">
      <alignment horizontal="right"/>
    </xf>
    <xf numFmtId="0" fontId="11" fillId="0" borderId="13" xfId="0" applyFont="1" applyBorder="1" applyAlignment="1">
      <alignment horizontal="right" wrapText="1"/>
    </xf>
    <xf numFmtId="0" fontId="28" fillId="3" borderId="14" xfId="0" applyFont="1" applyFill="1" applyBorder="1" applyAlignment="1">
      <alignment horizontal="right"/>
    </xf>
    <xf numFmtId="0" fontId="28" fillId="8" borderId="27" xfId="0" applyFont="1" applyFill="1" applyBorder="1" applyAlignment="1">
      <alignment horizontal="left"/>
    </xf>
    <xf numFmtId="0" fontId="0" fillId="0" borderId="45" xfId="0" applyBorder="1" applyAlignment="1">
      <alignment wrapText="1"/>
    </xf>
    <xf numFmtId="0" fontId="21" fillId="10" borderId="23" xfId="0" applyFont="1" applyFill="1" applyBorder="1"/>
    <xf numFmtId="3" fontId="12" fillId="3" borderId="0" xfId="0" applyNumberFormat="1" applyFont="1" applyFill="1"/>
    <xf numFmtId="0" fontId="7" fillId="0" borderId="1" xfId="0" applyFont="1" applyBorder="1" applyAlignment="1">
      <alignment wrapText="1"/>
    </xf>
    <xf numFmtId="0" fontId="31" fillId="0" borderId="31" xfId="0" applyFont="1" applyBorder="1" applyAlignment="1">
      <alignment wrapText="1"/>
    </xf>
    <xf numFmtId="0" fontId="7" fillId="0" borderId="35" xfId="0" applyFont="1" applyBorder="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21" fillId="0" borderId="4" xfId="0" applyFont="1" applyBorder="1" applyAlignment="1">
      <alignment horizontal="center"/>
    </xf>
    <xf numFmtId="0" fontId="30" fillId="0" borderId="32" xfId="0" applyFont="1" applyBorder="1" applyAlignment="1">
      <alignment wrapText="1"/>
    </xf>
    <xf numFmtId="0" fontId="21" fillId="0" borderId="1" xfId="0" applyFont="1" applyBorder="1" applyAlignment="1">
      <alignment horizontal="center" wrapText="1"/>
    </xf>
    <xf numFmtId="0" fontId="21" fillId="0" borderId="29" xfId="0" applyFont="1" applyBorder="1" applyAlignment="1">
      <alignment wrapText="1"/>
    </xf>
    <xf numFmtId="0" fontId="21" fillId="0" borderId="33" xfId="0" applyFont="1" applyBorder="1" applyAlignment="1">
      <alignment wrapText="1"/>
    </xf>
    <xf numFmtId="2" fontId="21" fillId="6" borderId="12" xfId="0" applyNumberFormat="1" applyFont="1" applyFill="1" applyBorder="1" applyAlignment="1">
      <alignment horizontal="right" wrapText="1"/>
    </xf>
    <xf numFmtId="2" fontId="21" fillId="6" borderId="4" xfId="1" applyNumberFormat="1" applyFont="1" applyFill="1" applyBorder="1" applyAlignment="1">
      <alignment wrapText="1"/>
    </xf>
    <xf numFmtId="2" fontId="21" fillId="6" borderId="12" xfId="0" applyNumberFormat="1" applyFont="1" applyFill="1" applyBorder="1" applyAlignment="1">
      <alignment wrapText="1"/>
    </xf>
    <xf numFmtId="0" fontId="21" fillId="0" borderId="34" xfId="0" applyFont="1" applyBorder="1" applyAlignment="1">
      <alignment wrapText="1"/>
    </xf>
    <xf numFmtId="0" fontId="21" fillId="0" borderId="6" xfId="0" applyFont="1" applyBorder="1" applyAlignment="1">
      <alignment horizontal="center" wrapText="1"/>
    </xf>
    <xf numFmtId="9" fontId="21" fillId="6" borderId="39" xfId="1" applyFont="1" applyFill="1" applyBorder="1" applyAlignment="1">
      <alignment wrapText="1"/>
    </xf>
    <xf numFmtId="9" fontId="21" fillId="6" borderId="7" xfId="1" applyFont="1" applyFill="1" applyBorder="1" applyAlignment="1">
      <alignment wrapText="1"/>
    </xf>
    <xf numFmtId="0" fontId="29" fillId="0" borderId="0" xfId="0" applyFont="1" applyAlignment="1">
      <alignment wrapText="1"/>
    </xf>
    <xf numFmtId="0" fontId="21" fillId="0" borderId="18" xfId="0" applyFont="1" applyBorder="1" applyAlignment="1">
      <alignment wrapText="1"/>
    </xf>
    <xf numFmtId="0" fontId="7" fillId="0" borderId="9" xfId="0" applyFont="1" applyBorder="1" applyAlignment="1">
      <alignment wrapText="1"/>
    </xf>
    <xf numFmtId="0" fontId="21" fillId="0" borderId="3" xfId="0" applyFont="1" applyBorder="1"/>
    <xf numFmtId="0" fontId="7" fillId="0" borderId="4" xfId="0" applyFont="1" applyBorder="1" applyAlignment="1">
      <alignment wrapText="1"/>
    </xf>
    <xf numFmtId="0" fontId="21" fillId="0" borderId="19" xfId="0" applyFont="1" applyBorder="1"/>
    <xf numFmtId="0" fontId="7" fillId="0" borderId="29" xfId="0" applyFont="1" applyBorder="1" applyAlignment="1">
      <alignment wrapText="1"/>
    </xf>
    <xf numFmtId="0" fontId="7" fillId="0" borderId="31" xfId="0" applyFont="1" applyBorder="1" applyAlignment="1">
      <alignment wrapText="1"/>
    </xf>
    <xf numFmtId="0" fontId="7" fillId="0" borderId="10" xfId="0" applyFont="1" applyBorder="1" applyAlignment="1">
      <alignment wrapText="1"/>
    </xf>
    <xf numFmtId="0" fontId="21" fillId="0" borderId="4" xfId="0" applyFont="1" applyBorder="1" applyAlignment="1">
      <alignment horizontal="center" wrapText="1"/>
    </xf>
    <xf numFmtId="0" fontId="21" fillId="0" borderId="32" xfId="0" applyFont="1" applyBorder="1" applyAlignment="1">
      <alignment wrapText="1"/>
    </xf>
    <xf numFmtId="2" fontId="21" fillId="6" borderId="4" xfId="0" applyNumberFormat="1" applyFont="1" applyFill="1" applyBorder="1" applyAlignment="1">
      <alignment horizontal="right" wrapText="1"/>
    </xf>
    <xf numFmtId="2" fontId="21" fillId="6" borderId="4" xfId="0" applyNumberFormat="1" applyFont="1" applyFill="1" applyBorder="1" applyAlignment="1">
      <alignment wrapText="1"/>
    </xf>
    <xf numFmtId="0" fontId="21" fillId="0" borderId="34" xfId="0" applyFont="1" applyBorder="1" applyAlignment="1">
      <alignment horizontal="left" wrapText="1"/>
    </xf>
    <xf numFmtId="2" fontId="21" fillId="6" borderId="39" xfId="0" applyNumberFormat="1" applyFont="1" applyFill="1" applyBorder="1" applyAlignment="1">
      <alignment wrapText="1"/>
    </xf>
    <xf numFmtId="0" fontId="7" fillId="0" borderId="6" xfId="0" applyFont="1" applyBorder="1" applyAlignment="1">
      <alignment wrapText="1"/>
    </xf>
    <xf numFmtId="0" fontId="7" fillId="0" borderId="7" xfId="0" applyFont="1" applyBorder="1" applyAlignment="1">
      <alignment wrapText="1"/>
    </xf>
    <xf numFmtId="0" fontId="32" fillId="0" borderId="20" xfId="0" applyFont="1" applyBorder="1"/>
    <xf numFmtId="0" fontId="7" fillId="0" borderId="21" xfId="0" applyFont="1" applyBorder="1" applyAlignment="1">
      <alignment wrapText="1"/>
    </xf>
    <xf numFmtId="0" fontId="7" fillId="0" borderId="30" xfId="0" applyFont="1" applyBorder="1" applyAlignment="1">
      <alignment wrapText="1"/>
    </xf>
    <xf numFmtId="0" fontId="21" fillId="0" borderId="43" xfId="0" applyFont="1" applyBorder="1"/>
    <xf numFmtId="0" fontId="21" fillId="0" borderId="42" xfId="0" applyFont="1" applyBorder="1" applyAlignment="1">
      <alignment wrapText="1"/>
    </xf>
    <xf numFmtId="167" fontId="21" fillId="6" borderId="4" xfId="1" applyNumberFormat="1" applyFont="1" applyFill="1" applyBorder="1" applyAlignment="1">
      <alignment wrapText="1"/>
    </xf>
    <xf numFmtId="2" fontId="21" fillId="6" borderId="7" xfId="0" applyNumberFormat="1" applyFont="1" applyFill="1" applyBorder="1" applyAlignment="1">
      <alignment wrapText="1"/>
    </xf>
    <xf numFmtId="0" fontId="7" fillId="0" borderId="11" xfId="0" applyFont="1" applyBorder="1" applyAlignment="1">
      <alignment horizontal="center" wrapText="1"/>
    </xf>
    <xf numFmtId="0" fontId="7" fillId="0" borderId="13" xfId="0" applyFont="1" applyBorder="1" applyAlignment="1">
      <alignment horizontal="center" wrapText="1"/>
    </xf>
    <xf numFmtId="0" fontId="7" fillId="0" borderId="8" xfId="0" applyFont="1" applyBorder="1" applyAlignment="1">
      <alignment horizontal="center" wrapText="1"/>
    </xf>
    <xf numFmtId="0" fontId="21" fillId="0" borderId="17" xfId="0" applyFont="1" applyBorder="1" applyAlignment="1">
      <alignment horizontal="center" wrapText="1"/>
    </xf>
    <xf numFmtId="0" fontId="7" fillId="0" borderId="1" xfId="0" applyFont="1" applyBorder="1" applyAlignment="1">
      <alignment horizontal="left" wrapText="1"/>
    </xf>
    <xf numFmtId="0" fontId="23" fillId="0" borderId="1" xfId="0" applyFont="1" applyBorder="1" applyAlignment="1">
      <alignment horizontal="left" wrapText="1"/>
    </xf>
    <xf numFmtId="0" fontId="7" fillId="0" borderId="1" xfId="0" applyFont="1" applyBorder="1" applyAlignment="1">
      <alignment horizontal="center" wrapText="1"/>
    </xf>
    <xf numFmtId="0" fontId="7" fillId="0" borderId="9" xfId="0" applyFont="1" applyBorder="1" applyAlignment="1">
      <alignment horizontal="left" wrapText="1"/>
    </xf>
    <xf numFmtId="0" fontId="21" fillId="0" borderId="8" xfId="0" applyFont="1" applyBorder="1" applyAlignment="1">
      <alignment horizontal="center" wrapText="1"/>
    </xf>
    <xf numFmtId="0" fontId="21" fillId="0" borderId="9" xfId="0" applyFont="1" applyBorder="1" applyAlignment="1">
      <alignment wrapText="1"/>
    </xf>
    <xf numFmtId="0" fontId="21" fillId="0" borderId="29" xfId="0" applyFont="1" applyBorder="1" applyAlignment="1">
      <alignment horizontal="center" wrapText="1"/>
    </xf>
    <xf numFmtId="164" fontId="21" fillId="6" borderId="12" xfId="0" applyNumberFormat="1" applyFont="1" applyFill="1" applyBorder="1" applyAlignment="1">
      <alignment wrapText="1"/>
    </xf>
    <xf numFmtId="164" fontId="21" fillId="6" borderId="4" xfId="0" applyNumberFormat="1" applyFont="1" applyFill="1" applyBorder="1" applyAlignment="1">
      <alignment wrapText="1"/>
    </xf>
    <xf numFmtId="164" fontId="21" fillId="6" borderId="12" xfId="0" applyNumberFormat="1" applyFont="1" applyFill="1" applyBorder="1" applyAlignment="1">
      <alignment horizontal="right" wrapText="1"/>
    </xf>
    <xf numFmtId="164" fontId="21" fillId="6" borderId="4" xfId="0" applyNumberFormat="1" applyFont="1" applyFill="1" applyBorder="1" applyAlignment="1">
      <alignment horizontal="right" wrapText="1"/>
    </xf>
    <xf numFmtId="0" fontId="21" fillId="6" borderId="4" xfId="0" applyFont="1" applyFill="1" applyBorder="1" applyAlignment="1">
      <alignment wrapText="1"/>
    </xf>
    <xf numFmtId="164" fontId="21" fillId="6" borderId="39" xfId="0" applyNumberFormat="1" applyFont="1" applyFill="1" applyBorder="1" applyAlignment="1">
      <alignment wrapText="1"/>
    </xf>
    <xf numFmtId="164" fontId="21" fillId="6" borderId="7" xfId="0" applyNumberFormat="1" applyFont="1" applyFill="1" applyBorder="1" applyAlignment="1">
      <alignment wrapText="1"/>
    </xf>
    <xf numFmtId="165" fontId="7" fillId="4" borderId="12" xfId="0" applyNumberFormat="1" applyFont="1" applyFill="1" applyBorder="1" applyAlignment="1">
      <alignment horizontal="right" wrapText="1"/>
    </xf>
    <xf numFmtId="1" fontId="7" fillId="4" borderId="12" xfId="0" applyNumberFormat="1" applyFont="1" applyFill="1" applyBorder="1" applyAlignment="1">
      <alignment horizontal="right" wrapText="1"/>
    </xf>
    <xf numFmtId="4" fontId="12" fillId="3" borderId="12" xfId="0" applyNumberFormat="1" applyFont="1" applyFill="1" applyBorder="1" applyAlignment="1">
      <alignment horizontal="left" wrapText="1"/>
    </xf>
    <xf numFmtId="0" fontId="21" fillId="0" borderId="11" xfId="0" applyFont="1" applyBorder="1" applyAlignment="1">
      <alignment horizontal="center" wrapText="1"/>
    </xf>
    <xf numFmtId="0" fontId="7" fillId="0" borderId="9" xfId="0" applyFont="1" applyBorder="1" applyAlignment="1">
      <alignment horizontal="center" wrapText="1"/>
    </xf>
    <xf numFmtId="164" fontId="7" fillId="4" borderId="12" xfId="0" applyNumberFormat="1" applyFont="1" applyFill="1" applyBorder="1" applyAlignment="1">
      <alignment horizontal="right" wrapText="1"/>
    </xf>
    <xf numFmtId="2" fontId="7" fillId="4" borderId="12" xfId="0" applyNumberFormat="1" applyFont="1" applyFill="1" applyBorder="1" applyAlignment="1">
      <alignment horizontal="right" wrapText="1"/>
    </xf>
    <xf numFmtId="164" fontId="7" fillId="4" borderId="14" xfId="0" applyNumberFormat="1" applyFont="1" applyFill="1" applyBorder="1" applyAlignment="1">
      <alignment horizontal="right" wrapText="1"/>
    </xf>
    <xf numFmtId="0" fontId="0" fillId="5" borderId="0" xfId="0" applyFill="1"/>
    <xf numFmtId="0" fontId="11" fillId="0" borderId="17" xfId="0" applyFont="1" applyBorder="1" applyAlignment="1">
      <alignment horizontal="right" wrapText="1"/>
    </xf>
    <xf numFmtId="14" fontId="32" fillId="0" borderId="15" xfId="0" applyNumberFormat="1" applyFont="1" applyBorder="1"/>
    <xf numFmtId="0" fontId="7" fillId="0" borderId="18" xfId="0" applyFont="1" applyBorder="1" applyAlignment="1">
      <alignment wrapText="1"/>
    </xf>
    <xf numFmtId="3" fontId="9" fillId="3" borderId="15" xfId="0" applyNumberFormat="1" applyFont="1" applyFill="1" applyBorder="1" applyAlignment="1">
      <alignment horizontal="left" wrapText="1"/>
    </xf>
    <xf numFmtId="0" fontId="8" fillId="0" borderId="0" xfId="0" applyFont="1" applyAlignment="1">
      <alignment wrapText="1"/>
    </xf>
    <xf numFmtId="0" fontId="0" fillId="0" borderId="0" xfId="0"/>
    <xf numFmtId="0" fontId="0" fillId="0" borderId="17" xfId="0" applyBorder="1" applyAlignment="1">
      <alignment horizontal="left" vertical="top" wrapText="1"/>
    </xf>
    <xf numFmtId="0" fontId="0" fillId="0" borderId="18" xfId="0" applyBorder="1" applyAlignment="1">
      <alignment horizontal="left" vertical="top" wrapText="1"/>
    </xf>
    <xf numFmtId="0" fontId="0" fillId="0" borderId="15" xfId="0" applyBorder="1" applyAlignment="1">
      <alignment horizontal="left" vertical="top" wrapText="1"/>
    </xf>
    <xf numFmtId="0" fontId="2" fillId="3" borderId="8" xfId="0" applyFont="1" applyFill="1" applyBorder="1" applyAlignment="1">
      <alignment horizontal="center" vertical="top" wrapText="1"/>
    </xf>
    <xf numFmtId="0" fontId="2" fillId="3" borderId="9" xfId="0" applyFont="1" applyFill="1" applyBorder="1" applyAlignment="1">
      <alignment horizontal="center" vertical="top" wrapText="1"/>
    </xf>
    <xf numFmtId="0" fontId="2" fillId="3" borderId="10" xfId="0" applyFont="1" applyFill="1" applyBorder="1" applyAlignment="1">
      <alignment horizontal="center" vertical="top" wrapText="1"/>
    </xf>
    <xf numFmtId="0" fontId="2" fillId="3" borderId="11" xfId="0" applyFont="1" applyFill="1" applyBorder="1" applyAlignment="1">
      <alignment horizontal="center" vertical="top" wrapText="1"/>
    </xf>
    <xf numFmtId="0" fontId="2" fillId="3" borderId="0" xfId="0" applyFont="1" applyFill="1" applyAlignment="1">
      <alignment horizontal="center" vertical="top" wrapText="1"/>
    </xf>
    <xf numFmtId="0" fontId="2" fillId="3" borderId="12" xfId="0" applyFont="1" applyFill="1" applyBorder="1" applyAlignment="1">
      <alignment horizontal="center" vertical="top" wrapText="1"/>
    </xf>
    <xf numFmtId="0" fontId="2" fillId="3" borderId="13" xfId="0" applyFont="1" applyFill="1" applyBorder="1" applyAlignment="1">
      <alignment horizontal="center" vertical="top" wrapText="1"/>
    </xf>
    <xf numFmtId="0" fontId="2" fillId="3" borderId="1" xfId="0" applyFont="1" applyFill="1" applyBorder="1" applyAlignment="1">
      <alignment horizontal="center" vertical="top" wrapText="1"/>
    </xf>
    <xf numFmtId="0" fontId="2" fillId="3" borderId="14" xfId="0" applyFont="1" applyFill="1" applyBorder="1" applyAlignment="1">
      <alignment horizontal="center" vertical="top" wrapText="1"/>
    </xf>
    <xf numFmtId="0" fontId="0" fillId="3" borderId="8" xfId="0" applyFill="1" applyBorder="1" applyAlignment="1">
      <alignment horizontal="left" vertical="top" wrapText="1"/>
    </xf>
    <xf numFmtId="0" fontId="0" fillId="3" borderId="9" xfId="0" applyFill="1" applyBorder="1" applyAlignment="1">
      <alignment horizontal="left" vertical="top" wrapText="1"/>
    </xf>
    <xf numFmtId="0" fontId="0" fillId="3" borderId="10" xfId="0" applyFill="1" applyBorder="1" applyAlignment="1">
      <alignment horizontal="left" vertical="top" wrapText="1"/>
    </xf>
    <xf numFmtId="0" fontId="0" fillId="3" borderId="11" xfId="0" applyFill="1" applyBorder="1" applyAlignment="1">
      <alignment horizontal="left" vertical="top" wrapText="1"/>
    </xf>
    <xf numFmtId="0" fontId="0" fillId="3" borderId="0" xfId="0" applyFill="1" applyAlignment="1">
      <alignment horizontal="left" vertical="top" wrapText="1"/>
    </xf>
    <xf numFmtId="0" fontId="0" fillId="3" borderId="12" xfId="0" applyFill="1" applyBorder="1" applyAlignment="1">
      <alignment horizontal="left" vertical="top" wrapText="1"/>
    </xf>
    <xf numFmtId="0" fontId="0" fillId="3" borderId="13" xfId="0" applyFill="1" applyBorder="1" applyAlignment="1">
      <alignment horizontal="left" vertical="top" wrapText="1"/>
    </xf>
    <xf numFmtId="0" fontId="0" fillId="3" borderId="1" xfId="0" applyFill="1" applyBorder="1" applyAlignment="1">
      <alignment horizontal="left" vertical="top" wrapText="1"/>
    </xf>
    <xf numFmtId="0" fontId="0" fillId="3" borderId="14" xfId="0" applyFill="1" applyBorder="1" applyAlignment="1">
      <alignment horizontal="left" vertical="top" wrapText="1"/>
    </xf>
    <xf numFmtId="0" fontId="30" fillId="0" borderId="40" xfId="0" applyFont="1" applyBorder="1" applyAlignment="1">
      <alignment horizontal="left" wrapText="1"/>
    </xf>
    <xf numFmtId="0" fontId="30" fillId="0" borderId="9" xfId="0" applyFont="1" applyBorder="1" applyAlignment="1">
      <alignment horizontal="left" wrapText="1"/>
    </xf>
    <xf numFmtId="0" fontId="30" fillId="0" borderId="41" xfId="0" applyFont="1" applyBorder="1" applyAlignment="1">
      <alignment horizontal="left" wrapText="1"/>
    </xf>
    <xf numFmtId="0" fontId="30" fillId="0" borderId="19" xfId="0" applyFont="1" applyBorder="1" applyAlignment="1">
      <alignment wrapText="1"/>
    </xf>
    <xf numFmtId="0" fontId="7" fillId="0" borderId="1" xfId="0" applyFont="1" applyBorder="1" applyAlignment="1">
      <alignment wrapText="1"/>
    </xf>
    <xf numFmtId="0" fontId="7" fillId="0" borderId="29" xfId="0" applyFont="1" applyBorder="1" applyAlignment="1">
      <alignment wrapText="1"/>
    </xf>
    <xf numFmtId="0" fontId="1" fillId="0" borderId="40" xfId="0" applyFont="1" applyBorder="1" applyAlignment="1">
      <alignment wrapText="1"/>
    </xf>
    <xf numFmtId="0" fontId="0" fillId="0" borderId="9" xfId="0" applyBorder="1" applyAlignment="1">
      <alignment wrapText="1"/>
    </xf>
    <xf numFmtId="0" fontId="0" fillId="0" borderId="41" xfId="0" applyBorder="1" applyAlignment="1">
      <alignment wrapText="1"/>
    </xf>
    <xf numFmtId="0" fontId="21" fillId="0" borderId="19" xfId="0" applyFont="1" applyBorder="1" applyAlignment="1">
      <alignment wrapText="1"/>
    </xf>
    <xf numFmtId="0" fontId="23" fillId="0" borderId="17" xfId="0" applyFont="1" applyBorder="1" applyAlignment="1">
      <alignment wrapText="1"/>
    </xf>
    <xf numFmtId="0" fontId="0" fillId="0" borderId="18" xfId="0" applyBorder="1" applyAlignment="1">
      <alignment wrapText="1"/>
    </xf>
    <xf numFmtId="0" fontId="0" fillId="0" borderId="15" xfId="0" applyBorder="1" applyAlignment="1">
      <alignment wrapText="1"/>
    </xf>
    <xf numFmtId="0" fontId="23" fillId="0" borderId="17" xfId="0" applyFont="1" applyBorder="1" applyAlignment="1">
      <alignment horizontal="left" wrapText="1"/>
    </xf>
    <xf numFmtId="0" fontId="23" fillId="0" borderId="18" xfId="0" applyFont="1" applyBorder="1" applyAlignment="1">
      <alignment horizontal="left" wrapText="1"/>
    </xf>
    <xf numFmtId="0" fontId="23" fillId="0" borderId="15" xfId="0" applyFont="1" applyBorder="1" applyAlignment="1">
      <alignment horizontal="left" wrapText="1"/>
    </xf>
  </cellXfs>
  <cellStyles count="3">
    <cellStyle name="60 % - Dekorfärg3" xfId="2" builtinId="40"/>
    <cellStyle name="Normal" xfId="0" builtinId="0"/>
    <cellStyle name="Procent" xfId="1" builtinId="5"/>
  </cellStyles>
  <dxfs count="0"/>
  <tableStyles count="0" defaultTableStyle="TableStyleMedium2" defaultPivotStyle="PivotStyleLight16"/>
  <colors>
    <mruColors>
      <color rgb="FF4B87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2C9F2-B6DF-4C83-B4E0-E061FDD72772}">
  <dimension ref="A1:P200"/>
  <sheetViews>
    <sheetView tabSelected="1" topLeftCell="A29" zoomScale="70" zoomScaleNormal="70" workbookViewId="0">
      <selection activeCell="P64" sqref="P64"/>
    </sheetView>
  </sheetViews>
  <sheetFormatPr defaultColWidth="8.85546875" defaultRowHeight="15" x14ac:dyDescent="0.25"/>
  <cols>
    <col min="1" max="1" width="13.28515625" style="24" customWidth="1"/>
    <col min="2" max="2" width="19.85546875" style="1" bestFit="1" customWidth="1"/>
    <col min="3" max="3" width="76.42578125" style="1" customWidth="1"/>
    <col min="4" max="4" width="16.5703125" style="1" customWidth="1"/>
    <col min="5" max="5" width="2.5703125" style="1" customWidth="1"/>
    <col min="6" max="6" width="14.85546875" style="1" customWidth="1"/>
    <col min="7" max="7" width="18.85546875" style="1" customWidth="1"/>
    <col min="8" max="8" width="86.7109375" style="1" bestFit="1" customWidth="1"/>
    <col min="9" max="9" width="13.42578125" style="1" bestFit="1" customWidth="1"/>
    <col min="10" max="10" width="2.85546875" style="1" customWidth="1"/>
    <col min="11" max="11" width="53.5703125" style="1" customWidth="1"/>
    <col min="12" max="12" width="11.28515625" style="1" customWidth="1"/>
    <col min="13" max="16384" width="8.85546875" style="1"/>
  </cols>
  <sheetData>
    <row r="1" spans="1:9" ht="21" x14ac:dyDescent="0.35">
      <c r="C1" s="246" t="s">
        <v>534</v>
      </c>
      <c r="D1" s="247">
        <v>45846</v>
      </c>
    </row>
    <row r="2" spans="1:9" ht="24" x14ac:dyDescent="0.4">
      <c r="A2" s="137" t="s">
        <v>426</v>
      </c>
      <c r="C2" s="138"/>
    </row>
    <row r="3" spans="1:9" ht="21.75" thickBot="1" x14ac:dyDescent="0.4">
      <c r="A3" s="1"/>
      <c r="C3" s="24"/>
      <c r="D3" s="136"/>
    </row>
    <row r="4" spans="1:9" ht="21.75" thickBot="1" x14ac:dyDescent="0.4">
      <c r="A4" s="101" t="s">
        <v>0</v>
      </c>
      <c r="B4" s="175"/>
      <c r="C4" s="174" t="s">
        <v>332</v>
      </c>
      <c r="G4" s="102" t="s">
        <v>162</v>
      </c>
      <c r="H4" s="103"/>
    </row>
    <row r="5" spans="1:9" ht="21.75" thickBot="1" x14ac:dyDescent="0.4">
      <c r="A5" s="101" t="s">
        <v>411</v>
      </c>
      <c r="B5" s="175"/>
      <c r="C5" s="174" t="s">
        <v>412</v>
      </c>
      <c r="G5" s="104" t="s">
        <v>36</v>
      </c>
      <c r="H5" s="105"/>
    </row>
    <row r="6" spans="1:9" x14ac:dyDescent="0.25">
      <c r="A6" s="1"/>
      <c r="C6" s="24"/>
      <c r="G6" s="106" t="s">
        <v>50</v>
      </c>
      <c r="H6" s="107"/>
    </row>
    <row r="7" spans="1:9" ht="21" x14ac:dyDescent="0.35">
      <c r="A7" s="1"/>
      <c r="C7" s="170" t="s">
        <v>535</v>
      </c>
      <c r="D7" s="171" t="s">
        <v>550</v>
      </c>
      <c r="F7"/>
      <c r="G7" s="108" t="s">
        <v>38</v>
      </c>
      <c r="H7" s="109"/>
    </row>
    <row r="8" spans="1:9" ht="21" x14ac:dyDescent="0.35">
      <c r="A8" s="1"/>
      <c r="C8" s="172" t="s">
        <v>536</v>
      </c>
      <c r="D8" s="173" t="s">
        <v>551</v>
      </c>
      <c r="F8"/>
      <c r="G8" s="110" t="s">
        <v>304</v>
      </c>
      <c r="H8" s="111"/>
    </row>
    <row r="9" spans="1:9" ht="15.75" thickBot="1" x14ac:dyDescent="0.3">
      <c r="A9" s="1"/>
      <c r="C9" s="24"/>
      <c r="F9"/>
      <c r="G9" s="112" t="s">
        <v>410</v>
      </c>
      <c r="H9" s="113"/>
    </row>
    <row r="10" spans="1:9" ht="30.75" customHeight="1" x14ac:dyDescent="0.25">
      <c r="A10" s="250" t="s">
        <v>537</v>
      </c>
      <c r="B10" s="251"/>
      <c r="C10" s="251"/>
      <c r="D10" s="251"/>
      <c r="E10" s="251"/>
      <c r="F10" s="251"/>
      <c r="G10" s="100"/>
      <c r="H10" s="100"/>
      <c r="I10" s="85"/>
    </row>
    <row r="11" spans="1:9" x14ac:dyDescent="0.25">
      <c r="A11" s="1"/>
      <c r="C11" s="24"/>
      <c r="F11"/>
      <c r="G11" s="100"/>
      <c r="H11" s="100"/>
    </row>
    <row r="12" spans="1:9" ht="21" x14ac:dyDescent="0.35">
      <c r="A12" s="4" t="s">
        <v>389</v>
      </c>
      <c r="G12" s="84"/>
      <c r="I12" s="85"/>
    </row>
    <row r="13" spans="1:9" x14ac:dyDescent="0.25">
      <c r="A13" s="26" t="s">
        <v>390</v>
      </c>
      <c r="B13" s="27"/>
      <c r="C13" s="27" t="s">
        <v>40</v>
      </c>
      <c r="D13" s="86"/>
      <c r="E13" s="86"/>
      <c r="F13" s="86" t="s">
        <v>391</v>
      </c>
      <c r="G13" s="86" t="s">
        <v>417</v>
      </c>
      <c r="H13" s="64" t="s">
        <v>392</v>
      </c>
    </row>
    <row r="14" spans="1:9" x14ac:dyDescent="0.25">
      <c r="A14" s="21" t="s">
        <v>469</v>
      </c>
      <c r="B14" s="21" t="s">
        <v>470</v>
      </c>
      <c r="C14" s="21" t="s">
        <v>559</v>
      </c>
      <c r="D14" s="176" t="s">
        <v>471</v>
      </c>
      <c r="E14" s="134"/>
      <c r="F14" s="177">
        <v>200000</v>
      </c>
      <c r="G14" s="147"/>
      <c r="H14" s="148"/>
    </row>
    <row r="15" spans="1:9" x14ac:dyDescent="0.25">
      <c r="A15" s="21"/>
      <c r="B15" s="21"/>
      <c r="C15" s="21"/>
      <c r="D15" s="169"/>
      <c r="E15" s="147"/>
      <c r="F15" s="153"/>
      <c r="G15" s="147"/>
      <c r="H15" s="148"/>
    </row>
    <row r="16" spans="1:9" ht="30" x14ac:dyDescent="0.25">
      <c r="A16" s="1" t="s">
        <v>393</v>
      </c>
      <c r="B16" s="1" t="s">
        <v>418</v>
      </c>
      <c r="C16" s="1" t="s">
        <v>419</v>
      </c>
      <c r="D16" s="114" t="s">
        <v>459</v>
      </c>
      <c r="E16" s="142"/>
      <c r="F16" s="143">
        <v>80</v>
      </c>
      <c r="G16" s="152" t="s">
        <v>506</v>
      </c>
      <c r="H16" s="139" t="s">
        <v>420</v>
      </c>
    </row>
    <row r="17" spans="1:9" ht="30" x14ac:dyDescent="0.25">
      <c r="A17" s="1" t="s">
        <v>393</v>
      </c>
      <c r="B17" s="1" t="s">
        <v>418</v>
      </c>
      <c r="C17" s="1" t="s">
        <v>419</v>
      </c>
      <c r="D17" s="114" t="s">
        <v>460</v>
      </c>
      <c r="E17" s="142"/>
      <c r="F17" s="143">
        <v>20</v>
      </c>
      <c r="G17" s="152" t="s">
        <v>506</v>
      </c>
      <c r="H17" s="139" t="s">
        <v>420</v>
      </c>
    </row>
    <row r="18" spans="1:9" x14ac:dyDescent="0.25">
      <c r="A18" s="3"/>
      <c r="B18" s="3"/>
      <c r="C18" s="3"/>
      <c r="D18" s="25"/>
      <c r="E18" s="25"/>
      <c r="F18" s="25"/>
      <c r="G18" s="25"/>
      <c r="H18" s="115"/>
    </row>
    <row r="19" spans="1:9" ht="45" x14ac:dyDescent="0.25">
      <c r="A19" s="1" t="s">
        <v>393</v>
      </c>
      <c r="B19" s="1" t="s">
        <v>394</v>
      </c>
      <c r="C19" s="1" t="s">
        <v>395</v>
      </c>
      <c r="D19" s="114" t="s">
        <v>461</v>
      </c>
      <c r="E19" s="88"/>
      <c r="F19" s="144">
        <v>400000</v>
      </c>
      <c r="G19" s="84" t="s">
        <v>28</v>
      </c>
      <c r="H19" s="90"/>
      <c r="I19" s="85"/>
    </row>
    <row r="20" spans="1:9" x14ac:dyDescent="0.25">
      <c r="A20" s="1"/>
      <c r="D20" s="87"/>
      <c r="E20" s="88"/>
      <c r="F20" s="89"/>
      <c r="G20" s="84"/>
      <c r="H20" s="90"/>
      <c r="I20" s="85"/>
    </row>
    <row r="21" spans="1:9" ht="30" x14ac:dyDescent="0.25">
      <c r="A21" s="1" t="s">
        <v>393</v>
      </c>
      <c r="B21" s="1" t="s">
        <v>396</v>
      </c>
      <c r="C21" s="1" t="s">
        <v>397</v>
      </c>
      <c r="D21" s="91" t="s">
        <v>462</v>
      </c>
      <c r="E21" s="88"/>
      <c r="F21" s="93" t="s">
        <v>398</v>
      </c>
      <c r="G21" s="93" t="s">
        <v>398</v>
      </c>
      <c r="H21" s="90"/>
      <c r="I21" s="85"/>
    </row>
    <row r="22" spans="1:9" x14ac:dyDescent="0.25">
      <c r="A22" s="1"/>
      <c r="D22" s="92"/>
      <c r="E22" s="88"/>
      <c r="F22" s="93"/>
      <c r="G22" s="93"/>
      <c r="H22" s="90"/>
      <c r="I22" s="85"/>
    </row>
    <row r="23" spans="1:9" ht="30" x14ac:dyDescent="0.25">
      <c r="A23" s="1" t="s">
        <v>393</v>
      </c>
      <c r="B23" s="1" t="s">
        <v>421</v>
      </c>
      <c r="C23" s="1" t="s">
        <v>427</v>
      </c>
      <c r="D23" s="92"/>
      <c r="E23" s="88"/>
      <c r="F23" s="144">
        <v>150</v>
      </c>
      <c r="G23" s="93" t="s">
        <v>422</v>
      </c>
      <c r="H23" s="139" t="s">
        <v>423</v>
      </c>
      <c r="I23" s="85"/>
    </row>
    <row r="24" spans="1:9" ht="30" x14ac:dyDescent="0.25">
      <c r="A24" s="1" t="s">
        <v>393</v>
      </c>
      <c r="B24" s="1" t="s">
        <v>421</v>
      </c>
      <c r="C24" s="1" t="s">
        <v>427</v>
      </c>
      <c r="D24" s="92"/>
      <c r="E24" s="88"/>
      <c r="F24" s="144">
        <v>350</v>
      </c>
      <c r="G24" s="93" t="s">
        <v>422</v>
      </c>
      <c r="H24" s="139" t="s">
        <v>423</v>
      </c>
      <c r="I24" s="85"/>
    </row>
    <row r="25" spans="1:9" x14ac:dyDescent="0.25">
      <c r="A25" s="1"/>
      <c r="D25" s="92"/>
      <c r="E25" s="94"/>
      <c r="F25" s="92"/>
      <c r="G25" s="84"/>
      <c r="H25" s="90"/>
      <c r="I25" s="85"/>
    </row>
    <row r="26" spans="1:9" ht="45" x14ac:dyDescent="0.25">
      <c r="A26" s="1" t="s">
        <v>399</v>
      </c>
      <c r="B26" s="1" t="s">
        <v>400</v>
      </c>
      <c r="C26" s="1" t="s">
        <v>401</v>
      </c>
      <c r="D26" s="91" t="s">
        <v>463</v>
      </c>
      <c r="E26" s="95"/>
      <c r="F26" s="145">
        <v>250000</v>
      </c>
      <c r="G26" s="84" t="s">
        <v>195</v>
      </c>
      <c r="H26" s="96"/>
      <c r="I26" s="85"/>
    </row>
    <row r="27" spans="1:9" ht="45" x14ac:dyDescent="0.25">
      <c r="A27" s="1" t="s">
        <v>399</v>
      </c>
      <c r="B27" s="1" t="s">
        <v>400</v>
      </c>
      <c r="C27" s="1" t="s">
        <v>401</v>
      </c>
      <c r="D27" s="91" t="s">
        <v>464</v>
      </c>
      <c r="E27" s="95"/>
      <c r="F27" s="145">
        <v>150000</v>
      </c>
      <c r="G27" s="84" t="s">
        <v>195</v>
      </c>
      <c r="H27" s="96"/>
      <c r="I27" s="85"/>
    </row>
    <row r="28" spans="1:9" x14ac:dyDescent="0.25">
      <c r="A28" s="1"/>
      <c r="D28" s="92"/>
      <c r="E28" s="95"/>
      <c r="F28" s="92"/>
      <c r="G28" s="84"/>
      <c r="H28" s="96"/>
      <c r="I28" s="85"/>
    </row>
    <row r="29" spans="1:9" ht="45" x14ac:dyDescent="0.25">
      <c r="A29" s="1" t="s">
        <v>399</v>
      </c>
      <c r="B29" s="1" t="s">
        <v>424</v>
      </c>
      <c r="C29" s="1" t="s">
        <v>428</v>
      </c>
      <c r="D29" s="91" t="s">
        <v>465</v>
      </c>
      <c r="E29" s="95"/>
      <c r="F29" s="146">
        <v>35000</v>
      </c>
      <c r="G29" s="84" t="s">
        <v>195</v>
      </c>
      <c r="H29" s="96"/>
    </row>
    <row r="30" spans="1:9" ht="45" x14ac:dyDescent="0.25">
      <c r="A30" s="1" t="s">
        <v>399</v>
      </c>
      <c r="B30" s="1" t="s">
        <v>424</v>
      </c>
      <c r="C30" s="1" t="s">
        <v>428</v>
      </c>
      <c r="D30" s="91" t="s">
        <v>466</v>
      </c>
      <c r="E30" s="95"/>
      <c r="F30" s="146">
        <v>15000</v>
      </c>
      <c r="G30" s="84" t="s">
        <v>195</v>
      </c>
      <c r="H30" s="96"/>
    </row>
    <row r="31" spans="1:9" x14ac:dyDescent="0.25">
      <c r="A31" s="14"/>
      <c r="B31" s="14"/>
      <c r="C31" s="14"/>
      <c r="D31" s="92"/>
      <c r="E31" s="133"/>
      <c r="F31" s="92"/>
      <c r="G31" s="134"/>
      <c r="H31" s="135"/>
    </row>
    <row r="32" spans="1:9" ht="30" x14ac:dyDescent="0.25">
      <c r="A32" s="1" t="s">
        <v>402</v>
      </c>
      <c r="B32" s="1" t="s">
        <v>403</v>
      </c>
      <c r="C32" s="1" t="s">
        <v>437</v>
      </c>
      <c r="D32" s="91" t="s">
        <v>467</v>
      </c>
      <c r="E32" s="88"/>
      <c r="F32" s="145">
        <v>1</v>
      </c>
      <c r="G32" s="93" t="s">
        <v>398</v>
      </c>
      <c r="H32" s="90"/>
      <c r="I32" s="85"/>
    </row>
    <row r="33" spans="1:16" x14ac:dyDescent="0.25">
      <c r="A33" s="1"/>
      <c r="C33" s="18"/>
      <c r="D33" s="89"/>
      <c r="E33" s="88"/>
      <c r="F33" s="89"/>
      <c r="G33" s="84"/>
      <c r="H33" s="90"/>
      <c r="I33" s="85"/>
    </row>
    <row r="34" spans="1:16" ht="30" x14ac:dyDescent="0.25">
      <c r="A34" s="1" t="s">
        <v>402</v>
      </c>
      <c r="B34" s="1" t="s">
        <v>404</v>
      </c>
      <c r="C34" s="1" t="s">
        <v>405</v>
      </c>
      <c r="D34" s="89"/>
      <c r="E34" s="88"/>
      <c r="F34" s="145">
        <v>11</v>
      </c>
      <c r="G34" s="84" t="s">
        <v>406</v>
      </c>
      <c r="H34" s="96" t="s">
        <v>407</v>
      </c>
      <c r="I34" s="85"/>
    </row>
    <row r="35" spans="1:16" ht="30" x14ac:dyDescent="0.25">
      <c r="A35" s="1" t="s">
        <v>402</v>
      </c>
      <c r="B35" s="1" t="s">
        <v>404</v>
      </c>
      <c r="C35" s="1" t="s">
        <v>405</v>
      </c>
      <c r="D35" s="89"/>
      <c r="E35" s="88"/>
      <c r="F35" s="145">
        <v>3</v>
      </c>
      <c r="G35" s="84" t="s">
        <v>406</v>
      </c>
      <c r="H35" s="96" t="s">
        <v>407</v>
      </c>
      <c r="I35" s="85"/>
    </row>
    <row r="36" spans="1:16" x14ac:dyDescent="0.25">
      <c r="A36" s="1"/>
      <c r="D36" s="89"/>
      <c r="E36" s="88"/>
      <c r="F36" s="89"/>
      <c r="G36" s="84"/>
      <c r="H36" s="97"/>
      <c r="I36" s="85"/>
    </row>
    <row r="37" spans="1:16" ht="45" x14ac:dyDescent="0.25">
      <c r="A37" s="1" t="s">
        <v>416</v>
      </c>
      <c r="B37" s="1" t="s">
        <v>408</v>
      </c>
      <c r="C37" s="1" t="s">
        <v>409</v>
      </c>
      <c r="D37" s="91" t="s">
        <v>468</v>
      </c>
      <c r="E37" s="88"/>
      <c r="F37" s="145">
        <v>20</v>
      </c>
      <c r="G37" s="91" t="s">
        <v>29</v>
      </c>
      <c r="H37" s="97"/>
      <c r="I37" s="85"/>
    </row>
    <row r="38" spans="1:16" x14ac:dyDescent="0.25">
      <c r="A38" s="1"/>
      <c r="C38" s="18"/>
      <c r="D38" s="98"/>
      <c r="E38" s="88"/>
      <c r="F38" s="99"/>
      <c r="G38" s="100"/>
      <c r="H38" s="97"/>
      <c r="I38" s="85"/>
    </row>
    <row r="39" spans="1:16" customFormat="1" ht="30.75" customHeight="1" x14ac:dyDescent="0.25">
      <c r="A39" s="252" t="s">
        <v>574</v>
      </c>
      <c r="B39" s="253"/>
      <c r="C39" s="253"/>
      <c r="D39" s="253"/>
      <c r="E39" s="253"/>
      <c r="F39" s="253"/>
      <c r="G39" s="253"/>
      <c r="H39" s="254"/>
      <c r="I39" s="1"/>
      <c r="J39" s="1"/>
      <c r="K39" s="1"/>
      <c r="L39" s="1"/>
      <c r="M39" s="1"/>
      <c r="N39" s="1"/>
      <c r="O39" s="1"/>
      <c r="P39" s="1"/>
    </row>
    <row r="40" spans="1:16" customFormat="1" x14ac:dyDescent="0.25">
      <c r="A40" s="255"/>
      <c r="B40" s="256"/>
      <c r="C40" s="256"/>
      <c r="D40" s="256"/>
      <c r="E40" s="256"/>
      <c r="F40" s="256"/>
      <c r="G40" s="256"/>
      <c r="H40" s="257"/>
      <c r="I40" s="1"/>
      <c r="J40" s="1"/>
      <c r="K40" s="1"/>
      <c r="L40" s="1"/>
      <c r="M40" s="1"/>
      <c r="N40" s="1"/>
      <c r="O40" s="1"/>
      <c r="P40" s="1"/>
    </row>
    <row r="41" spans="1:16" customFormat="1" x14ac:dyDescent="0.25">
      <c r="A41" s="258"/>
      <c r="B41" s="259"/>
      <c r="C41" s="259"/>
      <c r="D41" s="259"/>
      <c r="E41" s="259"/>
      <c r="F41" s="259"/>
      <c r="G41" s="259"/>
      <c r="H41" s="260"/>
      <c r="I41" s="1"/>
      <c r="J41" s="1"/>
      <c r="K41" s="1"/>
      <c r="L41" s="1"/>
      <c r="M41" s="1"/>
      <c r="N41" s="1"/>
      <c r="O41" s="1"/>
      <c r="P41" s="1"/>
    </row>
    <row r="42" spans="1:16" customFormat="1" x14ac:dyDescent="0.25">
      <c r="A42" s="258"/>
      <c r="B42" s="259"/>
      <c r="C42" s="259"/>
      <c r="D42" s="259"/>
      <c r="E42" s="259"/>
      <c r="F42" s="259"/>
      <c r="G42" s="259"/>
      <c r="H42" s="260"/>
      <c r="I42" s="1"/>
      <c r="J42" s="1"/>
      <c r="K42" s="1"/>
      <c r="L42" s="1"/>
      <c r="M42" s="1"/>
      <c r="N42" s="1"/>
      <c r="O42" s="1"/>
      <c r="P42" s="1"/>
    </row>
    <row r="43" spans="1:16" customFormat="1" x14ac:dyDescent="0.25">
      <c r="A43" s="261"/>
      <c r="B43" s="262"/>
      <c r="C43" s="262"/>
      <c r="D43" s="262"/>
      <c r="E43" s="262"/>
      <c r="F43" s="262"/>
      <c r="G43" s="262"/>
      <c r="H43" s="263"/>
      <c r="I43" s="1"/>
      <c r="J43" s="1"/>
      <c r="K43" s="1"/>
      <c r="L43" s="1"/>
      <c r="M43" s="1"/>
      <c r="N43" s="1"/>
      <c r="O43" s="1"/>
      <c r="P43" s="1"/>
    </row>
    <row r="44" spans="1:16" x14ac:dyDescent="0.25">
      <c r="A44" s="1"/>
      <c r="C44" s="24"/>
      <c r="F44"/>
      <c r="G44"/>
      <c r="H44"/>
    </row>
    <row r="45" spans="1:16" x14ac:dyDescent="0.25">
      <c r="A45" s="6"/>
      <c r="B45" s="6"/>
      <c r="C45" s="44"/>
      <c r="D45" s="6"/>
      <c r="E45" s="6"/>
      <c r="F45" s="245"/>
      <c r="G45" s="245"/>
      <c r="H45" s="245"/>
      <c r="I45" s="6"/>
      <c r="J45" s="6"/>
      <c r="K45" s="6"/>
      <c r="L45" s="6"/>
      <c r="M45" s="6"/>
      <c r="N45" s="6"/>
      <c r="O45" s="6"/>
      <c r="P45" s="6"/>
    </row>
    <row r="46" spans="1:16" ht="21" x14ac:dyDescent="0.35">
      <c r="A46" s="4" t="s">
        <v>1</v>
      </c>
      <c r="C46" s="24"/>
      <c r="E46" s="34"/>
      <c r="F46" s="35"/>
    </row>
    <row r="47" spans="1:16" x14ac:dyDescent="0.25">
      <c r="A47" s="58" t="s">
        <v>99</v>
      </c>
      <c r="B47" s="22" t="s">
        <v>39</v>
      </c>
      <c r="C47" s="22"/>
      <c r="D47" s="23" t="s">
        <v>28</v>
      </c>
    </row>
    <row r="48" spans="1:16" x14ac:dyDescent="0.25">
      <c r="A48" s="49" t="s">
        <v>55</v>
      </c>
      <c r="B48" s="1" t="s">
        <v>101</v>
      </c>
      <c r="C48" s="1" t="s">
        <v>102</v>
      </c>
      <c r="D48" s="59">
        <v>370000</v>
      </c>
    </row>
    <row r="49" spans="1:16" x14ac:dyDescent="0.25">
      <c r="A49" s="49" t="s">
        <v>103</v>
      </c>
      <c r="B49" s="1" t="s">
        <v>104</v>
      </c>
      <c r="C49" s="1" t="s">
        <v>439</v>
      </c>
      <c r="D49" s="59">
        <v>50000</v>
      </c>
    </row>
    <row r="50" spans="1:16" x14ac:dyDescent="0.25">
      <c r="A50" s="49" t="s">
        <v>106</v>
      </c>
      <c r="B50" s="1" t="s">
        <v>105</v>
      </c>
      <c r="C50" s="1" t="s">
        <v>107</v>
      </c>
      <c r="D50" s="59">
        <v>20000</v>
      </c>
    </row>
    <row r="51" spans="1:16" x14ac:dyDescent="0.25">
      <c r="A51" s="49"/>
      <c r="D51" s="70" t="s">
        <v>195</v>
      </c>
    </row>
    <row r="52" spans="1:16" x14ac:dyDescent="0.25">
      <c r="A52" s="49" t="s">
        <v>108</v>
      </c>
      <c r="B52" s="1" t="s">
        <v>109</v>
      </c>
      <c r="C52" s="21" t="s">
        <v>591</v>
      </c>
      <c r="D52" s="59">
        <v>415000</v>
      </c>
    </row>
    <row r="53" spans="1:16" x14ac:dyDescent="0.25">
      <c r="A53" s="49"/>
      <c r="C53" s="21"/>
      <c r="D53" s="71" t="s">
        <v>196</v>
      </c>
    </row>
    <row r="54" spans="1:16" x14ac:dyDescent="0.25">
      <c r="A54" s="51" t="s">
        <v>111</v>
      </c>
      <c r="B54" s="2" t="s">
        <v>110</v>
      </c>
      <c r="C54" s="178" t="s">
        <v>592</v>
      </c>
      <c r="D54" s="60">
        <f>D49+D52</f>
        <v>465000</v>
      </c>
    </row>
    <row r="55" spans="1:16" x14ac:dyDescent="0.25">
      <c r="D55" s="12"/>
      <c r="E55" s="9"/>
    </row>
    <row r="56" spans="1:16" x14ac:dyDescent="0.25">
      <c r="A56" s="44"/>
      <c r="B56" s="6"/>
      <c r="C56" s="6"/>
      <c r="D56" s="10"/>
      <c r="E56" s="10"/>
      <c r="F56" s="11"/>
      <c r="G56" s="6"/>
      <c r="H56" s="6"/>
      <c r="I56" s="6"/>
      <c r="J56" s="6"/>
      <c r="K56" s="6"/>
      <c r="L56" s="6"/>
      <c r="M56" s="6"/>
      <c r="N56" s="6"/>
      <c r="O56" s="6"/>
      <c r="P56" s="6"/>
    </row>
    <row r="57" spans="1:16" ht="21.75" thickBot="1" x14ac:dyDescent="0.4">
      <c r="A57" s="4" t="s">
        <v>2</v>
      </c>
      <c r="E57" s="12"/>
      <c r="F57" s="9"/>
    </row>
    <row r="58" spans="1:16" ht="21" x14ac:dyDescent="0.35">
      <c r="A58" s="54" t="s">
        <v>99</v>
      </c>
      <c r="B58" s="27" t="s">
        <v>39</v>
      </c>
      <c r="C58" s="27" t="s">
        <v>40</v>
      </c>
      <c r="D58" s="64" t="s">
        <v>29</v>
      </c>
      <c r="F58" s="54" t="s">
        <v>99</v>
      </c>
      <c r="G58" s="27" t="s">
        <v>39</v>
      </c>
      <c r="H58" s="27" t="s">
        <v>40</v>
      </c>
      <c r="I58" s="64" t="s">
        <v>29</v>
      </c>
      <c r="K58" s="80" t="s">
        <v>67</v>
      </c>
      <c r="L58" s="117"/>
      <c r="M58" s="117"/>
      <c r="N58" s="117"/>
      <c r="O58" s="117"/>
      <c r="P58" s="154"/>
    </row>
    <row r="59" spans="1:16" ht="30" x14ac:dyDescent="0.25">
      <c r="A59" s="47"/>
      <c r="B59" s="19" t="s">
        <v>3</v>
      </c>
      <c r="C59" s="19" t="s">
        <v>4</v>
      </c>
      <c r="D59" s="118">
        <v>705</v>
      </c>
      <c r="F59" s="47" t="s">
        <v>44</v>
      </c>
      <c r="G59" s="19" t="s">
        <v>198</v>
      </c>
      <c r="H59" s="19" t="s">
        <v>377</v>
      </c>
      <c r="I59" s="48">
        <f>D75+$D$79*D65/$D$69</f>
        <v>113.75</v>
      </c>
      <c r="K59" s="279" t="s">
        <v>569</v>
      </c>
      <c r="L59" s="280"/>
      <c r="M59" s="280"/>
      <c r="N59" s="280"/>
      <c r="O59" s="280"/>
      <c r="P59" s="281"/>
    </row>
    <row r="60" spans="1:16" ht="30" x14ac:dyDescent="0.25">
      <c r="A60" s="49"/>
      <c r="B60" s="21" t="s">
        <v>538</v>
      </c>
      <c r="C60" s="21" t="s">
        <v>442</v>
      </c>
      <c r="D60" s="59">
        <v>800</v>
      </c>
      <c r="F60" s="49" t="s">
        <v>45</v>
      </c>
      <c r="G60" s="1" t="s">
        <v>199</v>
      </c>
      <c r="H60" s="1" t="s">
        <v>378</v>
      </c>
      <c r="I60" s="53">
        <f>D76+$D$79*D66/$D$69</f>
        <v>10.625</v>
      </c>
      <c r="K60" s="282" t="s">
        <v>570</v>
      </c>
      <c r="L60" s="277"/>
      <c r="M60" s="277"/>
      <c r="N60" s="277"/>
      <c r="O60" s="277"/>
      <c r="P60" s="278"/>
    </row>
    <row r="61" spans="1:16" ht="30" x14ac:dyDescent="0.25">
      <c r="A61" s="49"/>
      <c r="B61" s="21" t="s">
        <v>443</v>
      </c>
      <c r="C61" s="21" t="s">
        <v>444</v>
      </c>
      <c r="D61" s="59">
        <v>100</v>
      </c>
      <c r="F61" s="49" t="s">
        <v>46</v>
      </c>
      <c r="G61" s="1" t="s">
        <v>200</v>
      </c>
      <c r="H61" s="37" t="s">
        <v>379</v>
      </c>
      <c r="I61" s="53">
        <f>D77+$D$79*D67/$D$69</f>
        <v>3.125</v>
      </c>
      <c r="K61" s="179"/>
      <c r="L61" s="180"/>
      <c r="M61" s="181" t="s">
        <v>530</v>
      </c>
      <c r="N61" s="182" t="s">
        <v>530</v>
      </c>
      <c r="O61" s="181" t="s">
        <v>531</v>
      </c>
      <c r="P61" s="183" t="s">
        <v>531</v>
      </c>
    </row>
    <row r="62" spans="1:16" ht="30" x14ac:dyDescent="0.25">
      <c r="A62" s="49"/>
      <c r="B62" s="21" t="s">
        <v>563</v>
      </c>
      <c r="C62" s="21" t="s">
        <v>564</v>
      </c>
      <c r="D62" s="59">
        <v>0</v>
      </c>
      <c r="F62" s="51" t="s">
        <v>47</v>
      </c>
      <c r="G62" s="2" t="s">
        <v>113</v>
      </c>
      <c r="H62" s="38" t="s">
        <v>380</v>
      </c>
      <c r="I62" s="69">
        <f>D78+$D$79*D68/$D$69</f>
        <v>77.5</v>
      </c>
      <c r="K62" s="184" t="s">
        <v>507</v>
      </c>
      <c r="L62" s="155" t="s">
        <v>417</v>
      </c>
      <c r="M62" s="185" t="s">
        <v>99</v>
      </c>
      <c r="N62" s="160" t="s">
        <v>391</v>
      </c>
      <c r="O62" s="185" t="s">
        <v>99</v>
      </c>
      <c r="P62" s="186" t="s">
        <v>391</v>
      </c>
    </row>
    <row r="63" spans="1:16" ht="30" x14ac:dyDescent="0.25">
      <c r="A63" s="49"/>
      <c r="B63" s="21" t="s">
        <v>575</v>
      </c>
      <c r="C63" s="21" t="s">
        <v>576</v>
      </c>
      <c r="D63" s="123">
        <v>20</v>
      </c>
      <c r="K63" s="187" t="s">
        <v>518</v>
      </c>
      <c r="L63" s="156" t="s">
        <v>430</v>
      </c>
      <c r="M63" s="181" t="s">
        <v>124</v>
      </c>
      <c r="N63" s="188">
        <f>1000*D64/D54</f>
        <v>3.4086021505376345</v>
      </c>
      <c r="O63" s="181" t="s">
        <v>511</v>
      </c>
      <c r="P63" s="189">
        <f>1000*(D64-D71)/D54</f>
        <v>3.3655913978494625</v>
      </c>
    </row>
    <row r="64" spans="1:16" ht="30" x14ac:dyDescent="0.25">
      <c r="A64" s="51" t="s">
        <v>30</v>
      </c>
      <c r="B64" s="30" t="s">
        <v>229</v>
      </c>
      <c r="C64" s="30" t="s">
        <v>230</v>
      </c>
      <c r="D64" s="67">
        <f>D59+D60+D61-D62-D63</f>
        <v>1585</v>
      </c>
      <c r="F64" s="54" t="s">
        <v>99</v>
      </c>
      <c r="G64" s="27" t="s">
        <v>39</v>
      </c>
      <c r="H64" s="27" t="s">
        <v>40</v>
      </c>
      <c r="I64" s="64" t="s">
        <v>29</v>
      </c>
      <c r="K64" s="187" t="s">
        <v>519</v>
      </c>
      <c r="L64" s="156" t="s">
        <v>425</v>
      </c>
      <c r="M64" s="181" t="s">
        <v>125</v>
      </c>
      <c r="N64" s="190">
        <f>1000*I71/D48</f>
        <v>2.2257964693480918</v>
      </c>
      <c r="O64" s="181" t="s">
        <v>512</v>
      </c>
      <c r="P64" s="189">
        <f>1000*(D65+I59)/D48</f>
        <v>2.1993243243243241</v>
      </c>
    </row>
    <row r="65" spans="1:16" x14ac:dyDescent="0.25">
      <c r="A65" s="49"/>
      <c r="B65" s="1" t="s">
        <v>189</v>
      </c>
      <c r="C65" s="1" t="s">
        <v>295</v>
      </c>
      <c r="D65" s="59">
        <v>700</v>
      </c>
      <c r="F65" s="49" t="s">
        <v>48</v>
      </c>
      <c r="G65" s="1" t="s">
        <v>238</v>
      </c>
      <c r="H65" s="1" t="s">
        <v>114</v>
      </c>
      <c r="I65" s="53">
        <f>$D$71*I110/$D$100</f>
        <v>9.7946936587938787</v>
      </c>
      <c r="K65" s="187" t="s">
        <v>520</v>
      </c>
      <c r="L65" s="156" t="s">
        <v>425</v>
      </c>
      <c r="M65" s="181" t="s">
        <v>126</v>
      </c>
      <c r="N65" s="190">
        <f>IFERROR(1000*I72/D49,"-")</f>
        <v>1.2340855296789917</v>
      </c>
      <c r="O65" s="181" t="s">
        <v>513</v>
      </c>
      <c r="P65" s="189">
        <f>IFERROR(1000*(D66+I60)/D49,"-")</f>
        <v>1.2124999999999999</v>
      </c>
    </row>
    <row r="66" spans="1:16" ht="30" x14ac:dyDescent="0.25">
      <c r="A66" s="49"/>
      <c r="B66" s="1" t="s">
        <v>190</v>
      </c>
      <c r="C66" s="1" t="s">
        <v>297</v>
      </c>
      <c r="D66" s="59">
        <v>50</v>
      </c>
      <c r="F66" s="49" t="s">
        <v>49</v>
      </c>
      <c r="G66" s="1" t="s">
        <v>239</v>
      </c>
      <c r="H66" s="1" t="s">
        <v>20</v>
      </c>
      <c r="I66" s="53">
        <f>$D$71*I111/$D$100</f>
        <v>1.0792764839495785</v>
      </c>
      <c r="J66" s="40"/>
      <c r="K66" s="187" t="s">
        <v>521</v>
      </c>
      <c r="L66" s="156" t="s">
        <v>425</v>
      </c>
      <c r="M66" s="181" t="s">
        <v>163</v>
      </c>
      <c r="N66" s="188">
        <f>IFERROR(1000*(I71/D48+I72/D49),"-")</f>
        <v>3.459881999027083</v>
      </c>
      <c r="O66" s="181" t="s">
        <v>514</v>
      </c>
      <c r="P66" s="189">
        <f>IFERROR(P64+P65,"-")</f>
        <v>3.411824324324324</v>
      </c>
    </row>
    <row r="67" spans="1:16" x14ac:dyDescent="0.25">
      <c r="A67" s="49"/>
      <c r="B67" s="1" t="s">
        <v>197</v>
      </c>
      <c r="C67" s="1" t="s">
        <v>296</v>
      </c>
      <c r="D67" s="119">
        <v>10</v>
      </c>
      <c r="F67" s="49" t="s">
        <v>117</v>
      </c>
      <c r="G67" s="1" t="s">
        <v>240</v>
      </c>
      <c r="H67" s="1" t="s">
        <v>193</v>
      </c>
      <c r="I67" s="50">
        <f>$D$71*I112/$D$100</f>
        <v>7.7980292632977538E-2</v>
      </c>
      <c r="J67" s="40"/>
      <c r="K67" s="187" t="s">
        <v>522</v>
      </c>
      <c r="L67" s="157" t="s">
        <v>431</v>
      </c>
      <c r="M67" s="181" t="s">
        <v>241</v>
      </c>
      <c r="N67" s="190">
        <f>1000*I74/D52</f>
        <v>1.6543326495533097</v>
      </c>
      <c r="O67" s="181" t="s">
        <v>515</v>
      </c>
      <c r="P67" s="189">
        <f>1000*(D68+I62)/D52</f>
        <v>1.6325301204819278</v>
      </c>
    </row>
    <row r="68" spans="1:16" ht="15.75" x14ac:dyDescent="0.25">
      <c r="A68" s="49"/>
      <c r="B68" s="1" t="s">
        <v>112</v>
      </c>
      <c r="C68" s="1" t="s">
        <v>298</v>
      </c>
      <c r="D68" s="119">
        <v>600</v>
      </c>
      <c r="E68" s="13"/>
      <c r="F68" s="51" t="s">
        <v>118</v>
      </c>
      <c r="G68" s="2" t="s">
        <v>115</v>
      </c>
      <c r="H68" s="2" t="s">
        <v>116</v>
      </c>
      <c r="I68" s="52">
        <f>$D$71*I113/$D$100</f>
        <v>9.0480495646235664</v>
      </c>
      <c r="J68" s="41"/>
      <c r="K68" s="187" t="s">
        <v>523</v>
      </c>
      <c r="L68" s="157" t="s">
        <v>431</v>
      </c>
      <c r="M68" s="181" t="s">
        <v>242</v>
      </c>
      <c r="N68" s="190">
        <f>IFERROR(1000*(I73/D50+I74/D52),"-")</f>
        <v>2.3144816641849584</v>
      </c>
      <c r="O68" s="181" t="s">
        <v>516</v>
      </c>
      <c r="P68" s="189">
        <f>IFERROR(1000*((D67+I61)/D50+(D68+I62)/D52),"-")</f>
        <v>2.2887801204819276</v>
      </c>
    </row>
    <row r="69" spans="1:16" ht="16.5" thickBot="1" x14ac:dyDescent="0.3">
      <c r="A69" s="49" t="s">
        <v>31</v>
      </c>
      <c r="B69" s="29" t="s">
        <v>292</v>
      </c>
      <c r="C69" s="29" t="s">
        <v>231</v>
      </c>
      <c r="D69" s="66">
        <f>D65+D66+D67+D68</f>
        <v>1360</v>
      </c>
      <c r="E69" s="13"/>
      <c r="I69" s="39"/>
      <c r="J69" s="42"/>
      <c r="K69" s="191" t="s">
        <v>164</v>
      </c>
      <c r="L69" s="158" t="s">
        <v>398</v>
      </c>
      <c r="M69" s="192" t="s">
        <v>505</v>
      </c>
      <c r="N69" s="193">
        <f>(D60+D61)/D64</f>
        <v>0.56782334384858046</v>
      </c>
      <c r="O69" s="192" t="s">
        <v>517</v>
      </c>
      <c r="P69" s="194">
        <f>(D60+D61)/(D64-D71)</f>
        <v>0.57507987220447288</v>
      </c>
    </row>
    <row r="70" spans="1:16" ht="45" x14ac:dyDescent="0.25">
      <c r="A70" s="49"/>
      <c r="B70" s="33" t="s">
        <v>232</v>
      </c>
      <c r="C70" s="33" t="s">
        <v>233</v>
      </c>
      <c r="D70" s="59">
        <v>75</v>
      </c>
      <c r="E70" s="13"/>
      <c r="F70" s="54" t="s">
        <v>99</v>
      </c>
      <c r="G70" s="27" t="s">
        <v>39</v>
      </c>
      <c r="H70" s="27" t="s">
        <v>40</v>
      </c>
      <c r="I70" s="64" t="s">
        <v>29</v>
      </c>
      <c r="J70" s="41"/>
    </row>
    <row r="71" spans="1:16" ht="30" x14ac:dyDescent="0.25">
      <c r="A71" s="51"/>
      <c r="B71" s="73" t="s">
        <v>12</v>
      </c>
      <c r="C71" s="2" t="s">
        <v>27</v>
      </c>
      <c r="D71" s="120">
        <v>20</v>
      </c>
      <c r="E71" s="13"/>
      <c r="F71" s="49" t="s">
        <v>119</v>
      </c>
      <c r="G71" s="1" t="s">
        <v>221</v>
      </c>
      <c r="H71" s="1" t="s">
        <v>299</v>
      </c>
      <c r="I71" s="55">
        <f>D65+I59+I65</f>
        <v>823.5446936587939</v>
      </c>
      <c r="J71" s="41"/>
    </row>
    <row r="72" spans="1:16" ht="15.75" x14ac:dyDescent="0.25">
      <c r="A72" s="51" t="s">
        <v>37</v>
      </c>
      <c r="B72" s="30" t="s">
        <v>414</v>
      </c>
      <c r="C72" s="30" t="s">
        <v>415</v>
      </c>
      <c r="D72" s="67">
        <f>D69+D70+D71</f>
        <v>1455</v>
      </c>
      <c r="E72" s="13"/>
      <c r="F72" s="49" t="s">
        <v>120</v>
      </c>
      <c r="G72" s="1" t="s">
        <v>222</v>
      </c>
      <c r="H72" s="1" t="s">
        <v>300</v>
      </c>
      <c r="I72" s="55">
        <f>D66+I60+I66</f>
        <v>61.704276483949577</v>
      </c>
      <c r="J72" s="41"/>
    </row>
    <row r="73" spans="1:16" ht="30" x14ac:dyDescent="0.25">
      <c r="A73" s="121" t="s">
        <v>41</v>
      </c>
      <c r="B73" s="36" t="s">
        <v>234</v>
      </c>
      <c r="C73" s="36" t="s">
        <v>429</v>
      </c>
      <c r="D73" s="122">
        <f>D64-D72</f>
        <v>130</v>
      </c>
      <c r="E73" s="13"/>
      <c r="F73" s="49" t="s">
        <v>122</v>
      </c>
      <c r="G73" s="1" t="s">
        <v>220</v>
      </c>
      <c r="H73" s="1" t="s">
        <v>301</v>
      </c>
      <c r="I73" s="56">
        <f>D67+I61+I67</f>
        <v>13.202980292632978</v>
      </c>
      <c r="J73" s="41"/>
    </row>
    <row r="74" spans="1:16" ht="15.75" x14ac:dyDescent="0.25">
      <c r="A74" s="49" t="s">
        <v>42</v>
      </c>
      <c r="B74" s="29" t="s">
        <v>17</v>
      </c>
      <c r="C74" s="29" t="s">
        <v>237</v>
      </c>
      <c r="D74" s="66">
        <f>D70+D73</f>
        <v>205</v>
      </c>
      <c r="E74" s="13"/>
      <c r="F74" s="51" t="s">
        <v>123</v>
      </c>
      <c r="G74" s="2" t="s">
        <v>121</v>
      </c>
      <c r="H74" s="2" t="s">
        <v>302</v>
      </c>
      <c r="I74" s="57">
        <f>D68+I62+I68</f>
        <v>686.54804956462351</v>
      </c>
      <c r="J74" s="41"/>
    </row>
    <row r="75" spans="1:16" ht="30" x14ac:dyDescent="0.25">
      <c r="A75" s="49"/>
      <c r="B75" s="1" t="s">
        <v>212</v>
      </c>
      <c r="C75" s="1" t="s">
        <v>286</v>
      </c>
      <c r="D75" s="123">
        <v>35</v>
      </c>
      <c r="E75" s="13"/>
      <c r="J75" s="41"/>
    </row>
    <row r="76" spans="1:16" ht="30" x14ac:dyDescent="0.25">
      <c r="A76" s="49"/>
      <c r="B76" s="1" t="s">
        <v>213</v>
      </c>
      <c r="C76" s="1" t="s">
        <v>287</v>
      </c>
      <c r="D76" s="123">
        <v>5</v>
      </c>
    </row>
    <row r="77" spans="1:16" ht="30" x14ac:dyDescent="0.25">
      <c r="A77" s="49"/>
      <c r="B77" s="1" t="s">
        <v>214</v>
      </c>
      <c r="C77" s="1" t="s">
        <v>288</v>
      </c>
      <c r="D77" s="123">
        <v>2</v>
      </c>
    </row>
    <row r="78" spans="1:16" ht="30" x14ac:dyDescent="0.25">
      <c r="A78" s="49"/>
      <c r="B78" s="1" t="s">
        <v>219</v>
      </c>
      <c r="C78" s="1" t="s">
        <v>289</v>
      </c>
      <c r="D78" s="123">
        <v>10</v>
      </c>
      <c r="E78" s="14"/>
    </row>
    <row r="79" spans="1:16" ht="30" x14ac:dyDescent="0.25">
      <c r="A79" s="51" t="s">
        <v>43</v>
      </c>
      <c r="B79" s="30" t="s">
        <v>235</v>
      </c>
      <c r="C79" s="30" t="s">
        <v>236</v>
      </c>
      <c r="D79" s="60">
        <f>D74-D75-D76-D77-D78</f>
        <v>153</v>
      </c>
      <c r="E79" s="14"/>
    </row>
    <row r="80" spans="1:16" x14ac:dyDescent="0.25">
      <c r="D80" s="14"/>
      <c r="E80" s="14"/>
      <c r="F80" s="25"/>
      <c r="H80" s="3"/>
    </row>
    <row r="81" spans="1:16" x14ac:dyDescent="0.25">
      <c r="A81" s="44"/>
      <c r="B81" s="6"/>
      <c r="C81" s="6"/>
      <c r="D81" s="16"/>
      <c r="E81" s="17"/>
      <c r="F81" s="6"/>
      <c r="G81" s="6"/>
      <c r="H81" s="7"/>
      <c r="I81" s="7"/>
      <c r="J81" s="6"/>
      <c r="K81" s="6"/>
      <c r="L81" s="6"/>
      <c r="M81" s="6"/>
      <c r="N81" s="6"/>
      <c r="O81" s="6"/>
      <c r="P81" s="6"/>
    </row>
    <row r="82" spans="1:16" ht="32.25" thickBot="1" x14ac:dyDescent="0.4">
      <c r="A82" s="4" t="s">
        <v>5</v>
      </c>
      <c r="B82" s="21"/>
      <c r="C82" s="195" t="s">
        <v>457</v>
      </c>
    </row>
    <row r="83" spans="1:16" ht="21" x14ac:dyDescent="0.35">
      <c r="A83" s="54" t="s">
        <v>99</v>
      </c>
      <c r="B83" s="196" t="s">
        <v>39</v>
      </c>
      <c r="C83" s="196" t="s">
        <v>40</v>
      </c>
      <c r="D83" s="64" t="s">
        <v>29</v>
      </c>
      <c r="F83" s="54" t="s">
        <v>99</v>
      </c>
      <c r="G83" s="27" t="s">
        <v>39</v>
      </c>
      <c r="H83" s="27" t="s">
        <v>40</v>
      </c>
      <c r="I83" s="64" t="s">
        <v>29</v>
      </c>
      <c r="K83" s="80" t="s">
        <v>67</v>
      </c>
      <c r="L83" s="116"/>
      <c r="M83" s="81"/>
      <c r="N83" s="81"/>
      <c r="O83" s="159"/>
      <c r="P83" s="154"/>
    </row>
    <row r="84" spans="1:16" ht="30" x14ac:dyDescent="0.25">
      <c r="A84" s="47"/>
      <c r="B84" s="197" t="s">
        <v>6</v>
      </c>
      <c r="C84" s="197" t="s">
        <v>552</v>
      </c>
      <c r="D84" s="118">
        <v>5000</v>
      </c>
      <c r="F84" s="49"/>
      <c r="G84" s="33" t="s">
        <v>249</v>
      </c>
      <c r="H84" s="33" t="s">
        <v>593</v>
      </c>
      <c r="I84" s="59">
        <v>280</v>
      </c>
      <c r="K84" s="198" t="s">
        <v>594</v>
      </c>
      <c r="L84" s="21"/>
      <c r="M84" s="21"/>
      <c r="N84" s="21"/>
      <c r="O84" s="21"/>
      <c r="P84" s="199"/>
    </row>
    <row r="85" spans="1:16" ht="30" x14ac:dyDescent="0.25">
      <c r="A85" s="49"/>
      <c r="B85" s="21" t="s">
        <v>7</v>
      </c>
      <c r="C85" s="21" t="s">
        <v>553</v>
      </c>
      <c r="D85" s="59">
        <v>1000</v>
      </c>
      <c r="F85" s="49"/>
      <c r="G85" s="33" t="s">
        <v>248</v>
      </c>
      <c r="H85" s="33" t="s">
        <v>364</v>
      </c>
      <c r="I85" s="59">
        <v>0</v>
      </c>
      <c r="K85" s="200" t="s">
        <v>595</v>
      </c>
      <c r="L85" s="178"/>
      <c r="M85" s="178"/>
      <c r="N85" s="178"/>
      <c r="O85" s="178"/>
      <c r="P85" s="201"/>
    </row>
    <row r="86" spans="1:16" x14ac:dyDescent="0.25">
      <c r="A86" s="49"/>
      <c r="B86" s="21" t="s">
        <v>8</v>
      </c>
      <c r="C86" s="21" t="s">
        <v>9</v>
      </c>
      <c r="D86" s="59">
        <v>10</v>
      </c>
      <c r="F86" s="49"/>
      <c r="G86" s="33" t="s">
        <v>247</v>
      </c>
      <c r="H86" s="33" t="s">
        <v>365</v>
      </c>
      <c r="I86" s="59">
        <v>0</v>
      </c>
      <c r="K86" s="202"/>
      <c r="L86" s="203"/>
      <c r="M86" s="181" t="s">
        <v>530</v>
      </c>
      <c r="N86" s="182" t="s">
        <v>530</v>
      </c>
      <c r="O86" s="181" t="s">
        <v>531</v>
      </c>
      <c r="P86" s="204" t="s">
        <v>531</v>
      </c>
    </row>
    <row r="87" spans="1:16" x14ac:dyDescent="0.25">
      <c r="A87" s="49"/>
      <c r="B87" s="21" t="s">
        <v>369</v>
      </c>
      <c r="C87" s="21" t="s">
        <v>334</v>
      </c>
      <c r="D87" s="59">
        <v>20</v>
      </c>
      <c r="F87" s="49"/>
      <c r="G87" s="33" t="s">
        <v>250</v>
      </c>
      <c r="H87" s="33" t="s">
        <v>366</v>
      </c>
      <c r="I87" s="59">
        <v>0</v>
      </c>
      <c r="K87" s="205" t="s">
        <v>508</v>
      </c>
      <c r="L87" s="160" t="s">
        <v>417</v>
      </c>
      <c r="M87" s="185" t="s">
        <v>99</v>
      </c>
      <c r="N87" s="160"/>
      <c r="O87" s="185"/>
      <c r="P87" s="201"/>
    </row>
    <row r="88" spans="1:16" x14ac:dyDescent="0.25">
      <c r="A88" s="49"/>
      <c r="B88" s="21" t="s">
        <v>80</v>
      </c>
      <c r="C88" s="21" t="s">
        <v>333</v>
      </c>
      <c r="D88" s="59">
        <v>15</v>
      </c>
      <c r="F88" s="49"/>
      <c r="G88" s="33" t="s">
        <v>246</v>
      </c>
      <c r="H88" s="72" t="s">
        <v>367</v>
      </c>
      <c r="I88" s="59">
        <v>0</v>
      </c>
      <c r="K88" s="187" t="s">
        <v>518</v>
      </c>
      <c r="L88" s="161" t="s">
        <v>430</v>
      </c>
      <c r="M88" s="181" t="s">
        <v>136</v>
      </c>
      <c r="N88" s="188">
        <f>1000*D100/D54</f>
        <v>18.804301075268818</v>
      </c>
      <c r="O88" s="181" t="s">
        <v>387</v>
      </c>
      <c r="P88" s="206">
        <f>1000*(D100-(D90-D94))/D54</f>
        <v>12.460215053763442</v>
      </c>
    </row>
    <row r="89" spans="1:16" x14ac:dyDescent="0.25">
      <c r="A89" s="51" t="s">
        <v>32</v>
      </c>
      <c r="B89" s="31" t="s">
        <v>339</v>
      </c>
      <c r="C89" s="31" t="s">
        <v>335</v>
      </c>
      <c r="D89" s="67">
        <f>SUM(D84:D88)</f>
        <v>6045</v>
      </c>
      <c r="F89" s="49"/>
      <c r="G89" s="33" t="s">
        <v>245</v>
      </c>
      <c r="H89" s="72" t="s">
        <v>251</v>
      </c>
      <c r="I89" s="59">
        <v>20</v>
      </c>
      <c r="K89" s="187" t="s">
        <v>519</v>
      </c>
      <c r="L89" s="161" t="s">
        <v>425</v>
      </c>
      <c r="M89" s="181" t="s">
        <v>166</v>
      </c>
      <c r="N89" s="190">
        <f>1000*I110/D48</f>
        <v>11.573621804391037</v>
      </c>
      <c r="O89" s="181" t="s">
        <v>388</v>
      </c>
      <c r="P89" s="207">
        <f>1000*(I110-(D90-D94))/D48</f>
        <v>3.6006488314180634</v>
      </c>
    </row>
    <row r="90" spans="1:16" x14ac:dyDescent="0.25">
      <c r="A90" s="49"/>
      <c r="B90" s="153" t="s">
        <v>336</v>
      </c>
      <c r="C90" s="21" t="s">
        <v>597</v>
      </c>
      <c r="D90" s="59">
        <v>3000</v>
      </c>
      <c r="F90" s="49"/>
      <c r="G90" s="33" t="s">
        <v>255</v>
      </c>
      <c r="H90" s="72" t="s">
        <v>252</v>
      </c>
      <c r="I90" s="59">
        <v>10</v>
      </c>
      <c r="K90" s="187" t="s">
        <v>524</v>
      </c>
      <c r="L90" s="161" t="s">
        <v>425</v>
      </c>
      <c r="M90" s="181" t="s">
        <v>258</v>
      </c>
      <c r="N90" s="190">
        <f>IFERROR(1000*I111/D49,"-")</f>
        <v>9.4371935756551153</v>
      </c>
      <c r="O90" s="21"/>
      <c r="P90" s="199"/>
    </row>
    <row r="91" spans="1:16" x14ac:dyDescent="0.25">
      <c r="A91" s="51" t="s">
        <v>33</v>
      </c>
      <c r="B91" s="31" t="s">
        <v>337</v>
      </c>
      <c r="C91" s="31" t="s">
        <v>338</v>
      </c>
      <c r="D91" s="67">
        <f>D89+D90</f>
        <v>9045</v>
      </c>
      <c r="F91" s="49"/>
      <c r="G91" s="33" t="s">
        <v>244</v>
      </c>
      <c r="H91" s="72" t="s">
        <v>253</v>
      </c>
      <c r="I91" s="59">
        <v>170</v>
      </c>
      <c r="K91" s="187" t="s">
        <v>521</v>
      </c>
      <c r="L91" s="161" t="s">
        <v>425</v>
      </c>
      <c r="M91" s="181" t="s">
        <v>291</v>
      </c>
      <c r="N91" s="188">
        <f>IFERROR(1000*(I110/D48+I111/D49),"-")</f>
        <v>21.01081538004615</v>
      </c>
      <c r="O91" s="181" t="s">
        <v>504</v>
      </c>
      <c r="P91" s="206">
        <f>IFERROR(1000*((I110-(D90-D94))/D48+I111/D49),"-")</f>
        <v>13.037842407073178</v>
      </c>
    </row>
    <row r="92" spans="1:16" ht="30" x14ac:dyDescent="0.25">
      <c r="A92" s="49"/>
      <c r="B92" s="21" t="s">
        <v>10</v>
      </c>
      <c r="C92" s="21" t="s">
        <v>340</v>
      </c>
      <c r="D92" s="59">
        <v>20</v>
      </c>
      <c r="F92" s="51" t="s">
        <v>56</v>
      </c>
      <c r="G92" s="30" t="s">
        <v>257</v>
      </c>
      <c r="H92" s="30" t="s">
        <v>433</v>
      </c>
      <c r="I92" s="60">
        <f>SUM(I84:I87)-SUM(I88:I91)-D98-D99</f>
        <v>-30</v>
      </c>
      <c r="K92" s="187" t="s">
        <v>522</v>
      </c>
      <c r="L92" s="162" t="s">
        <v>431</v>
      </c>
      <c r="M92" s="181" t="s">
        <v>341</v>
      </c>
      <c r="N92" s="190">
        <f>1000*I113/D52</f>
        <v>9.5320657100082506</v>
      </c>
      <c r="O92" s="21"/>
      <c r="P92" s="199"/>
    </row>
    <row r="93" spans="1:16" ht="15.75" thickBot="1" x14ac:dyDescent="0.3">
      <c r="A93" s="49"/>
      <c r="B93" s="21" t="s">
        <v>578</v>
      </c>
      <c r="C93" s="21" t="s">
        <v>488</v>
      </c>
      <c r="D93" s="59">
        <v>160</v>
      </c>
      <c r="K93" s="208" t="s">
        <v>523</v>
      </c>
      <c r="L93" s="163" t="s">
        <v>431</v>
      </c>
      <c r="M93" s="192" t="s">
        <v>342</v>
      </c>
      <c r="N93" s="209">
        <f>IFERROR(1000*(I112/D50+I113/D52),"-")</f>
        <v>11.236714906965139</v>
      </c>
      <c r="O93" s="210"/>
      <c r="P93" s="211"/>
    </row>
    <row r="94" spans="1:16" ht="15.75" thickBot="1" x14ac:dyDescent="0.3">
      <c r="A94" s="49"/>
      <c r="B94" s="21" t="s">
        <v>577</v>
      </c>
      <c r="C94" s="21" t="s">
        <v>440</v>
      </c>
      <c r="D94" s="123">
        <v>50</v>
      </c>
      <c r="F94" s="54" t="s">
        <v>99</v>
      </c>
      <c r="G94" s="27" t="s">
        <v>39</v>
      </c>
      <c r="H94" s="27" t="s">
        <v>40</v>
      </c>
      <c r="I94" s="64" t="s">
        <v>29</v>
      </c>
      <c r="K94" s="21"/>
      <c r="L94" s="21"/>
      <c r="M94" s="21"/>
      <c r="N94" s="21"/>
      <c r="O94" s="21"/>
      <c r="P94" s="21"/>
    </row>
    <row r="95" spans="1:16" ht="31.5" x14ac:dyDescent="0.35">
      <c r="A95" s="219"/>
      <c r="B95" s="21" t="s">
        <v>167</v>
      </c>
      <c r="C95" s="21" t="s">
        <v>579</v>
      </c>
      <c r="D95" s="123">
        <v>1</v>
      </c>
      <c r="F95" s="47" t="s">
        <v>57</v>
      </c>
      <c r="G95" s="32" t="s">
        <v>18</v>
      </c>
      <c r="H95" s="74" t="s">
        <v>254</v>
      </c>
      <c r="I95" s="168">
        <f>D106+D107+D109+I92</f>
        <v>2909</v>
      </c>
      <c r="K95" s="212" t="s">
        <v>67</v>
      </c>
      <c r="L95" s="213"/>
      <c r="M95" s="213"/>
      <c r="N95" s="214"/>
      <c r="O95" s="21"/>
      <c r="P95" s="21"/>
    </row>
    <row r="96" spans="1:16" ht="30" x14ac:dyDescent="0.25">
      <c r="A96" s="51" t="s">
        <v>35</v>
      </c>
      <c r="B96" s="31" t="s">
        <v>25</v>
      </c>
      <c r="C96" s="31" t="s">
        <v>209</v>
      </c>
      <c r="D96" s="67">
        <f>D91+D92-D93-D94-D95</f>
        <v>8854</v>
      </c>
      <c r="F96" s="49"/>
      <c r="G96" s="1" t="s">
        <v>215</v>
      </c>
      <c r="H96" s="1" t="s">
        <v>372</v>
      </c>
      <c r="I96" s="59">
        <v>70</v>
      </c>
      <c r="K96" s="215" t="s">
        <v>533</v>
      </c>
      <c r="L96" s="165" t="s">
        <v>417</v>
      </c>
      <c r="M96" s="196" t="s">
        <v>99</v>
      </c>
      <c r="N96" s="216" t="s">
        <v>391</v>
      </c>
      <c r="O96" s="21"/>
      <c r="P96" s="21"/>
    </row>
    <row r="97" spans="1:16" ht="30" x14ac:dyDescent="0.25">
      <c r="A97" s="121"/>
      <c r="B97" s="248" t="s">
        <v>445</v>
      </c>
      <c r="C97" s="248" t="s">
        <v>446</v>
      </c>
      <c r="D97" s="249">
        <v>140</v>
      </c>
      <c r="F97" s="49"/>
      <c r="G97" s="1" t="s">
        <v>216</v>
      </c>
      <c r="H97" s="1" t="s">
        <v>373</v>
      </c>
      <c r="I97" s="59">
        <v>10</v>
      </c>
      <c r="K97" s="187" t="s">
        <v>596</v>
      </c>
      <c r="L97" s="156" t="s">
        <v>398</v>
      </c>
      <c r="M97" s="181" t="s">
        <v>385</v>
      </c>
      <c r="N97" s="217">
        <f>(D90-D94)/D100</f>
        <v>0.33737419945105213</v>
      </c>
      <c r="O97" s="21"/>
      <c r="P97" s="21"/>
    </row>
    <row r="98" spans="1:16" ht="30.75" thickBot="1" x14ac:dyDescent="0.3">
      <c r="A98" s="49"/>
      <c r="B98" s="21" t="s">
        <v>580</v>
      </c>
      <c r="C98" s="21" t="s">
        <v>368</v>
      </c>
      <c r="D98" s="59">
        <v>90</v>
      </c>
      <c r="F98" s="49"/>
      <c r="G98" s="1" t="s">
        <v>217</v>
      </c>
      <c r="H98" s="1" t="s">
        <v>374</v>
      </c>
      <c r="I98" s="59">
        <v>2</v>
      </c>
      <c r="K98" s="191" t="s">
        <v>532</v>
      </c>
      <c r="L98" s="166" t="s">
        <v>425</v>
      </c>
      <c r="M98" s="192" t="s">
        <v>386</v>
      </c>
      <c r="N98" s="218">
        <f>1000*D90/D48</f>
        <v>8.1081081081081088</v>
      </c>
      <c r="O98" s="21"/>
      <c r="P98" s="21"/>
    </row>
    <row r="99" spans="1:16" ht="30" x14ac:dyDescent="0.25">
      <c r="A99" s="219"/>
      <c r="B99" s="21" t="s">
        <v>243</v>
      </c>
      <c r="C99" s="21" t="s">
        <v>581</v>
      </c>
      <c r="D99" s="123">
        <v>20</v>
      </c>
      <c r="F99" s="49"/>
      <c r="G99" s="1" t="s">
        <v>218</v>
      </c>
      <c r="H99" s="1" t="s">
        <v>375</v>
      </c>
      <c r="I99" s="59">
        <v>30</v>
      </c>
    </row>
    <row r="100" spans="1:16" ht="30" x14ac:dyDescent="0.25">
      <c r="A100" s="51" t="s">
        <v>34</v>
      </c>
      <c r="B100" s="31" t="s">
        <v>26</v>
      </c>
      <c r="C100" s="31" t="s">
        <v>539</v>
      </c>
      <c r="D100" s="67">
        <f>D96-D98-D99</f>
        <v>8744</v>
      </c>
      <c r="F100" s="51" t="s">
        <v>58</v>
      </c>
      <c r="G100" s="30" t="s">
        <v>165</v>
      </c>
      <c r="H100" s="2" t="s">
        <v>303</v>
      </c>
      <c r="I100" s="60">
        <f>I95-I96-I97-I98-I99</f>
        <v>2797</v>
      </c>
    </row>
    <row r="101" spans="1:16" ht="30" x14ac:dyDescent="0.25">
      <c r="A101" s="49"/>
      <c r="B101" s="21" t="s">
        <v>202</v>
      </c>
      <c r="C101" s="21" t="s">
        <v>540</v>
      </c>
      <c r="D101" s="59">
        <v>3050</v>
      </c>
    </row>
    <row r="102" spans="1:16" ht="30" x14ac:dyDescent="0.25">
      <c r="A102" s="49"/>
      <c r="B102" s="21" t="s">
        <v>203</v>
      </c>
      <c r="C102" s="21" t="s">
        <v>541</v>
      </c>
      <c r="D102" s="59">
        <v>300</v>
      </c>
      <c r="F102" s="54" t="s">
        <v>99</v>
      </c>
      <c r="G102" s="27" t="s">
        <v>39</v>
      </c>
      <c r="H102" s="27" t="s">
        <v>40</v>
      </c>
      <c r="I102" s="64" t="s">
        <v>29</v>
      </c>
    </row>
    <row r="103" spans="1:16" ht="30" x14ac:dyDescent="0.25">
      <c r="A103" s="49"/>
      <c r="B103" s="21" t="s">
        <v>201</v>
      </c>
      <c r="C103" s="21" t="s">
        <v>542</v>
      </c>
      <c r="D103" s="123">
        <v>15</v>
      </c>
      <c r="F103" s="47" t="s">
        <v>59</v>
      </c>
      <c r="G103" s="19" t="s">
        <v>177</v>
      </c>
      <c r="H103" s="19" t="s">
        <v>381</v>
      </c>
      <c r="I103" s="61">
        <f>I96+$I$100*D101/$D$105</f>
        <v>1512.240067624683</v>
      </c>
    </row>
    <row r="104" spans="1:16" ht="30" x14ac:dyDescent="0.25">
      <c r="A104" s="49"/>
      <c r="B104" s="21" t="s">
        <v>127</v>
      </c>
      <c r="C104" s="21" t="s">
        <v>543</v>
      </c>
      <c r="D104" s="123">
        <v>2550</v>
      </c>
      <c r="F104" s="49" t="s">
        <v>81</v>
      </c>
      <c r="G104" s="1" t="s">
        <v>178</v>
      </c>
      <c r="H104" s="1" t="s">
        <v>382</v>
      </c>
      <c r="I104" s="55">
        <f>I97+$I$100*D102/$D$105</f>
        <v>151.85967878275571</v>
      </c>
    </row>
    <row r="105" spans="1:16" ht="30" x14ac:dyDescent="0.25">
      <c r="A105" s="51" t="s">
        <v>54</v>
      </c>
      <c r="B105" s="31" t="s">
        <v>293</v>
      </c>
      <c r="C105" s="31" t="s">
        <v>228</v>
      </c>
      <c r="D105" s="60">
        <f>D101+D102+D103+D104</f>
        <v>5915</v>
      </c>
      <c r="F105" s="49" t="s">
        <v>82</v>
      </c>
      <c r="G105" s="1" t="s">
        <v>204</v>
      </c>
      <c r="H105" s="1" t="s">
        <v>383</v>
      </c>
      <c r="I105" s="62">
        <f>I98+$I$100*D103/$D$105</f>
        <v>9.0929839391377847</v>
      </c>
      <c r="K105" s="41"/>
    </row>
    <row r="106" spans="1:16" ht="60" x14ac:dyDescent="0.25">
      <c r="A106" s="49"/>
      <c r="B106" s="21" t="s">
        <v>227</v>
      </c>
      <c r="C106" s="72" t="s">
        <v>370</v>
      </c>
      <c r="D106" s="59">
        <v>340</v>
      </c>
      <c r="F106" s="49" t="s">
        <v>129</v>
      </c>
      <c r="G106" s="1" t="s">
        <v>128</v>
      </c>
      <c r="H106" s="1" t="s">
        <v>384</v>
      </c>
      <c r="I106" s="56">
        <f>I99+$I$100*D104/$D$105</f>
        <v>1235.8072696534234</v>
      </c>
    </row>
    <row r="107" spans="1:16" x14ac:dyDescent="0.25">
      <c r="A107" s="49"/>
      <c r="B107" s="1" t="s">
        <v>376</v>
      </c>
      <c r="C107" s="21" t="s">
        <v>371</v>
      </c>
      <c r="D107" s="59">
        <v>40</v>
      </c>
      <c r="F107" s="20"/>
      <c r="G107" s="2"/>
      <c r="H107" s="43" t="s">
        <v>84</v>
      </c>
      <c r="I107" s="63">
        <f>I103+I104+I105+I106-I95</f>
        <v>0</v>
      </c>
    </row>
    <row r="108" spans="1:16" x14ac:dyDescent="0.25">
      <c r="A108" s="51" t="s">
        <v>52</v>
      </c>
      <c r="B108" s="31" t="s">
        <v>290</v>
      </c>
      <c r="C108" s="31" t="s">
        <v>294</v>
      </c>
      <c r="D108" s="60">
        <f>D105+D106+D107</f>
        <v>6295</v>
      </c>
    </row>
    <row r="109" spans="1:16" ht="30" x14ac:dyDescent="0.25">
      <c r="A109" s="51" t="s">
        <v>53</v>
      </c>
      <c r="B109" s="30" t="s">
        <v>256</v>
      </c>
      <c r="C109" s="30" t="s">
        <v>432</v>
      </c>
      <c r="D109" s="60">
        <f>D96-D108</f>
        <v>2559</v>
      </c>
      <c r="F109" s="54" t="s">
        <v>99</v>
      </c>
      <c r="G109" s="27" t="s">
        <v>39</v>
      </c>
      <c r="H109" s="27" t="s">
        <v>40</v>
      </c>
      <c r="I109" s="64" t="s">
        <v>29</v>
      </c>
    </row>
    <row r="110" spans="1:16" ht="15.75" x14ac:dyDescent="0.25">
      <c r="F110" s="49" t="s">
        <v>132</v>
      </c>
      <c r="G110" s="1" t="s">
        <v>175</v>
      </c>
      <c r="H110" s="1" t="s">
        <v>62</v>
      </c>
      <c r="I110" s="65">
        <f>D101+I103+I88-I84</f>
        <v>4282.2400676246834</v>
      </c>
      <c r="J110" s="75"/>
    </row>
    <row r="111" spans="1:16" x14ac:dyDescent="0.25">
      <c r="F111" s="49" t="s">
        <v>133</v>
      </c>
      <c r="G111" s="1" t="s">
        <v>176</v>
      </c>
      <c r="H111" s="1" t="s">
        <v>63</v>
      </c>
      <c r="I111" s="55">
        <f>D102+I104+I89-I85</f>
        <v>471.85967878275574</v>
      </c>
    </row>
    <row r="112" spans="1:16" x14ac:dyDescent="0.25">
      <c r="F112" s="49" t="s">
        <v>134</v>
      </c>
      <c r="G112" s="1" t="s">
        <v>413</v>
      </c>
      <c r="H112" s="1" t="s">
        <v>194</v>
      </c>
      <c r="I112" s="66">
        <f>D103+I105+I90-I86</f>
        <v>34.092983939137781</v>
      </c>
    </row>
    <row r="113" spans="1:16" x14ac:dyDescent="0.25">
      <c r="F113" s="51" t="s">
        <v>135</v>
      </c>
      <c r="G113" s="2" t="s">
        <v>130</v>
      </c>
      <c r="H113" s="2" t="s">
        <v>131</v>
      </c>
      <c r="I113" s="67">
        <f>D104+I106+I91-I87</f>
        <v>3955.8072696534236</v>
      </c>
    </row>
    <row r="114" spans="1:16" x14ac:dyDescent="0.25">
      <c r="F114" s="24"/>
    </row>
    <row r="115" spans="1:16" x14ac:dyDescent="0.25">
      <c r="F115" s="24"/>
    </row>
    <row r="116" spans="1:16" x14ac:dyDescent="0.25">
      <c r="C116" s="29"/>
      <c r="D116" s="15"/>
    </row>
    <row r="117" spans="1:16" x14ac:dyDescent="0.25">
      <c r="A117" s="44"/>
      <c r="B117" s="6"/>
      <c r="C117" s="6"/>
      <c r="D117" s="6"/>
      <c r="E117" s="6"/>
      <c r="F117" s="6"/>
      <c r="G117" s="6"/>
      <c r="H117" s="6"/>
      <c r="I117" s="6"/>
      <c r="J117" s="6"/>
      <c r="K117" s="6"/>
      <c r="L117" s="6"/>
      <c r="M117" s="6"/>
      <c r="N117" s="6"/>
      <c r="O117" s="6"/>
      <c r="P117" s="6"/>
    </row>
    <row r="118" spans="1:16" ht="21.75" thickBot="1" x14ac:dyDescent="0.4">
      <c r="A118" s="5" t="s">
        <v>205</v>
      </c>
      <c r="C118" s="8"/>
      <c r="D118" s="2"/>
      <c r="E118" s="18"/>
    </row>
    <row r="119" spans="1:16" ht="21" x14ac:dyDescent="0.35">
      <c r="A119" s="54" t="s">
        <v>99</v>
      </c>
      <c r="B119" s="27" t="s">
        <v>39</v>
      </c>
      <c r="C119" s="27" t="s">
        <v>40</v>
      </c>
      <c r="D119" s="64" t="s">
        <v>29</v>
      </c>
      <c r="E119" s="18"/>
      <c r="F119" s="54" t="s">
        <v>99</v>
      </c>
      <c r="G119" s="27" t="s">
        <v>39</v>
      </c>
      <c r="H119" s="27" t="s">
        <v>40</v>
      </c>
      <c r="I119" s="64" t="s">
        <v>29</v>
      </c>
      <c r="K119" s="80" t="s">
        <v>67</v>
      </c>
      <c r="L119" s="117"/>
      <c r="M119" s="117"/>
      <c r="N119" s="117"/>
      <c r="O119" s="117"/>
      <c r="P119" s="154"/>
    </row>
    <row r="120" spans="1:16" ht="15.75" x14ac:dyDescent="0.25">
      <c r="A120" s="124"/>
      <c r="B120" s="3"/>
      <c r="C120" s="28" t="s">
        <v>438</v>
      </c>
      <c r="D120" s="115"/>
      <c r="E120" s="18"/>
      <c r="F120" s="221"/>
      <c r="G120" s="197"/>
      <c r="H120" s="82" t="s">
        <v>528</v>
      </c>
      <c r="I120" s="127"/>
      <c r="K120" s="273" t="s">
        <v>568</v>
      </c>
      <c r="L120" s="274"/>
      <c r="M120" s="274"/>
      <c r="N120" s="274"/>
      <c r="O120" s="274"/>
      <c r="P120" s="275"/>
    </row>
    <row r="121" spans="1:16" ht="30" x14ac:dyDescent="0.25">
      <c r="A121" s="49"/>
      <c r="B121" s="1" t="s">
        <v>435</v>
      </c>
      <c r="C121" s="1" t="s">
        <v>434</v>
      </c>
      <c r="D121" s="123">
        <v>2895</v>
      </c>
      <c r="F121" s="220"/>
      <c r="G121" s="178" t="s">
        <v>560</v>
      </c>
      <c r="H121" s="178" t="s">
        <v>529</v>
      </c>
      <c r="I121" s="120">
        <v>0</v>
      </c>
      <c r="K121" s="276" t="s">
        <v>565</v>
      </c>
      <c r="L121" s="277"/>
      <c r="M121" s="277"/>
      <c r="N121" s="277"/>
      <c r="O121" s="277"/>
      <c r="P121" s="278"/>
    </row>
    <row r="122" spans="1:16" x14ac:dyDescent="0.25">
      <c r="A122" s="49"/>
      <c r="B122" s="1" t="s">
        <v>359</v>
      </c>
      <c r="C122" s="1" t="s">
        <v>360</v>
      </c>
      <c r="D122" s="123">
        <v>230</v>
      </c>
      <c r="F122" s="21"/>
      <c r="G122" s="21"/>
      <c r="H122" s="21"/>
      <c r="K122" s="202"/>
      <c r="L122" s="203"/>
      <c r="M122" s="181" t="s">
        <v>530</v>
      </c>
      <c r="N122" s="182" t="s">
        <v>530</v>
      </c>
      <c r="O122" s="181" t="s">
        <v>531</v>
      </c>
      <c r="P122" s="183" t="s">
        <v>531</v>
      </c>
    </row>
    <row r="123" spans="1:16" ht="15.75" x14ac:dyDescent="0.25">
      <c r="A123" s="49"/>
      <c r="B123" s="1" t="s">
        <v>11</v>
      </c>
      <c r="C123" s="1" t="s">
        <v>268</v>
      </c>
      <c r="D123" s="123">
        <v>10</v>
      </c>
      <c r="E123" s="13"/>
      <c r="F123" s="222" t="s">
        <v>99</v>
      </c>
      <c r="G123" s="196" t="s">
        <v>39</v>
      </c>
      <c r="H123" s="196" t="s">
        <v>40</v>
      </c>
      <c r="I123" s="64" t="s">
        <v>29</v>
      </c>
      <c r="J123" s="141"/>
      <c r="K123" s="205" t="s">
        <v>509</v>
      </c>
      <c r="L123" s="164" t="s">
        <v>417</v>
      </c>
      <c r="M123" s="185" t="s">
        <v>99</v>
      </c>
      <c r="N123" s="164" t="s">
        <v>391</v>
      </c>
      <c r="O123" s="185" t="s">
        <v>99</v>
      </c>
      <c r="P123" s="229" t="s">
        <v>391</v>
      </c>
    </row>
    <row r="124" spans="1:16" ht="30" x14ac:dyDescent="0.25">
      <c r="A124" s="49" t="s">
        <v>60</v>
      </c>
      <c r="B124" s="29" t="s">
        <v>270</v>
      </c>
      <c r="C124" s="29" t="s">
        <v>266</v>
      </c>
      <c r="D124" s="78">
        <f>D121+D122-D123</f>
        <v>3115</v>
      </c>
      <c r="F124" s="220" t="s">
        <v>68</v>
      </c>
      <c r="G124" s="223" t="s">
        <v>352</v>
      </c>
      <c r="H124" s="224" t="s">
        <v>262</v>
      </c>
      <c r="I124" s="67">
        <f>D138+D145+D155-I121</f>
        <v>3005.882352941177</v>
      </c>
      <c r="K124" s="187" t="s">
        <v>525</v>
      </c>
      <c r="L124" s="161" t="s">
        <v>430</v>
      </c>
      <c r="M124" s="181" t="s">
        <v>479</v>
      </c>
      <c r="N124" s="230">
        <f>1000*I124/D54</f>
        <v>6.4642631246046811</v>
      </c>
      <c r="O124" s="181" t="s">
        <v>485</v>
      </c>
      <c r="P124" s="231">
        <f>1000*I140/D54</f>
        <v>0.58064516129032262</v>
      </c>
    </row>
    <row r="125" spans="1:16" x14ac:dyDescent="0.25">
      <c r="A125" s="49"/>
      <c r="C125" s="29" t="s">
        <v>441</v>
      </c>
      <c r="D125" s="125">
        <f>D124-D127-D140</f>
        <v>0</v>
      </c>
      <c r="F125" s="225"/>
      <c r="G125" s="31"/>
      <c r="H125" s="31"/>
      <c r="K125" s="187" t="s">
        <v>519</v>
      </c>
      <c r="L125" s="161" t="s">
        <v>425</v>
      </c>
      <c r="M125" s="181" t="s">
        <v>480</v>
      </c>
      <c r="N125" s="232">
        <f>1000*I133/D48</f>
        <v>1.9353338919551129</v>
      </c>
      <c r="O125" s="181" t="s">
        <v>486</v>
      </c>
      <c r="P125" s="233">
        <f>1000*I141/D48</f>
        <v>0.23513513513513515</v>
      </c>
    </row>
    <row r="126" spans="1:16" x14ac:dyDescent="0.25">
      <c r="A126" s="58"/>
      <c r="B126" s="22"/>
      <c r="C126" s="28" t="s">
        <v>353</v>
      </c>
      <c r="D126" s="23"/>
      <c r="F126" s="222" t="s">
        <v>99</v>
      </c>
      <c r="G126" s="196" t="s">
        <v>39</v>
      </c>
      <c r="H126" s="196" t="s">
        <v>40</v>
      </c>
      <c r="I126" s="64" t="s">
        <v>29</v>
      </c>
      <c r="K126" s="187" t="s">
        <v>524</v>
      </c>
      <c r="L126" s="161" t="s">
        <v>425</v>
      </c>
      <c r="M126" s="181" t="s">
        <v>481</v>
      </c>
      <c r="N126" s="232">
        <f>IFERROR(1000*I134/D49,"0")</f>
        <v>5.8561704116197237</v>
      </c>
      <c r="O126" s="181" t="s">
        <v>487</v>
      </c>
      <c r="P126" s="234">
        <f>IFERROR(1000*I142/D49,"-")</f>
        <v>1.4</v>
      </c>
    </row>
    <row r="127" spans="1:16" ht="30" x14ac:dyDescent="0.25">
      <c r="A127" s="219"/>
      <c r="B127" s="21" t="s">
        <v>354</v>
      </c>
      <c r="C127" s="21" t="s">
        <v>458</v>
      </c>
      <c r="D127" s="123">
        <v>3020</v>
      </c>
      <c r="F127" s="219" t="s">
        <v>85</v>
      </c>
      <c r="G127" s="72" t="s">
        <v>311</v>
      </c>
      <c r="H127" s="72" t="s">
        <v>21</v>
      </c>
      <c r="I127" s="78">
        <f>$D$138*(I110-($D$90-$D$94))/($D$100-($D$90-$D$94))</f>
        <v>629.07354002339173</v>
      </c>
      <c r="K127" s="187" t="s">
        <v>521</v>
      </c>
      <c r="L127" s="161" t="s">
        <v>425</v>
      </c>
      <c r="M127" s="181" t="s">
        <v>482</v>
      </c>
      <c r="N127" s="232">
        <f>IFERROR(1000*(I133/D48+I134/D49),"-")</f>
        <v>7.7915043035748361</v>
      </c>
      <c r="O127" s="181" t="s">
        <v>490</v>
      </c>
      <c r="P127" s="233">
        <f>IFERROR(1000*(I141/D48+I142/D49),"-")</f>
        <v>1.6351351351351351</v>
      </c>
    </row>
    <row r="128" spans="1:16" ht="30" x14ac:dyDescent="0.25">
      <c r="A128" s="219"/>
      <c r="B128" s="21" t="s">
        <v>355</v>
      </c>
      <c r="C128" s="21" t="s">
        <v>356</v>
      </c>
      <c r="D128" s="123">
        <v>0</v>
      </c>
      <c r="F128" s="219" t="s">
        <v>86</v>
      </c>
      <c r="G128" s="72" t="s">
        <v>312</v>
      </c>
      <c r="H128" s="72" t="s">
        <v>22</v>
      </c>
      <c r="I128" s="78">
        <f>$D$138*I111/($D$100-($D$90-$D$94))</f>
        <v>222.80852058098614</v>
      </c>
      <c r="K128" s="187" t="s">
        <v>523</v>
      </c>
      <c r="L128" s="162" t="s">
        <v>431</v>
      </c>
      <c r="M128" s="181" t="s">
        <v>483</v>
      </c>
      <c r="N128" s="230">
        <f>IFERROR(1000*(I135/D50+I136/D52),"-")</f>
        <v>5.6257700978094283</v>
      </c>
      <c r="O128" s="181" t="s">
        <v>491</v>
      </c>
      <c r="P128" s="231">
        <f>IFERROR(1000*(I143/D50+I144/D52),"-")</f>
        <v>0.3198795180722892</v>
      </c>
    </row>
    <row r="129" spans="1:16" ht="30.75" thickBot="1" x14ac:dyDescent="0.3">
      <c r="A129" s="219"/>
      <c r="B129" s="21" t="s">
        <v>357</v>
      </c>
      <c r="C129" s="21" t="s">
        <v>358</v>
      </c>
      <c r="D129" s="123">
        <v>0</v>
      </c>
      <c r="F129" s="219" t="s">
        <v>87</v>
      </c>
      <c r="G129" s="72" t="s">
        <v>313</v>
      </c>
      <c r="H129" s="72" t="s">
        <v>223</v>
      </c>
      <c r="I129" s="237">
        <f>$D$138*I112/($D$100-($D$90-$D$94))</f>
        <v>16.098445481220924</v>
      </c>
      <c r="K129" s="191" t="s">
        <v>522</v>
      </c>
      <c r="L129" s="163" t="s">
        <v>431</v>
      </c>
      <c r="M129" s="192" t="s">
        <v>484</v>
      </c>
      <c r="N129" s="235">
        <f>1000*I136/D52</f>
        <v>4.7708478237483822</v>
      </c>
      <c r="O129" s="192" t="s">
        <v>585</v>
      </c>
      <c r="P129" s="236">
        <f>1000*I144/D52</f>
        <v>0.26987951807228916</v>
      </c>
    </row>
    <row r="130" spans="1:16" ht="30" x14ac:dyDescent="0.25">
      <c r="A130" s="219"/>
      <c r="B130" s="21" t="s">
        <v>306</v>
      </c>
      <c r="C130" s="21" t="s">
        <v>83</v>
      </c>
      <c r="D130" s="123">
        <v>50</v>
      </c>
      <c r="F130" s="220" t="s">
        <v>88</v>
      </c>
      <c r="G130" s="223" t="s">
        <v>314</v>
      </c>
      <c r="H130" s="223" t="s">
        <v>141</v>
      </c>
      <c r="I130" s="60">
        <f>$D$138*I113/($D$100-($D$90-$D$94))</f>
        <v>1867.9018468555785</v>
      </c>
    </row>
    <row r="131" spans="1:16" x14ac:dyDescent="0.25">
      <c r="A131" s="219"/>
      <c r="B131" s="21" t="s">
        <v>307</v>
      </c>
      <c r="C131" s="21" t="s">
        <v>436</v>
      </c>
      <c r="D131" s="123">
        <v>20</v>
      </c>
      <c r="F131" s="21"/>
      <c r="G131" s="21"/>
      <c r="H131" s="21"/>
    </row>
    <row r="132" spans="1:16" x14ac:dyDescent="0.25">
      <c r="A132" s="220" t="s">
        <v>61</v>
      </c>
      <c r="B132" s="31" t="s">
        <v>308</v>
      </c>
      <c r="C132" s="31" t="s">
        <v>322</v>
      </c>
      <c r="D132" s="60">
        <f>SUM(D127:D131)</f>
        <v>3090</v>
      </c>
      <c r="F132" s="222" t="s">
        <v>99</v>
      </c>
      <c r="G132" s="196" t="s">
        <v>39</v>
      </c>
      <c r="H132" s="196" t="s">
        <v>40</v>
      </c>
      <c r="I132" s="64" t="s">
        <v>29</v>
      </c>
      <c r="J132" s="15"/>
    </row>
    <row r="133" spans="1:16" ht="60" x14ac:dyDescent="0.25">
      <c r="A133" s="219"/>
      <c r="B133" s="21" t="s">
        <v>259</v>
      </c>
      <c r="C133" s="21" t="s">
        <v>582</v>
      </c>
      <c r="D133" s="239">
        <v>0.85</v>
      </c>
      <c r="F133" s="221" t="s">
        <v>146</v>
      </c>
      <c r="G133" s="226" t="s">
        <v>183</v>
      </c>
      <c r="H133" s="226" t="s">
        <v>94</v>
      </c>
      <c r="I133" s="68">
        <f>I127+D156-I121</f>
        <v>716.07354002339173</v>
      </c>
    </row>
    <row r="134" spans="1:16" ht="30" x14ac:dyDescent="0.25">
      <c r="A134" s="219" t="s">
        <v>139</v>
      </c>
      <c r="B134" s="76" t="s">
        <v>583</v>
      </c>
      <c r="C134" s="76" t="s">
        <v>448</v>
      </c>
      <c r="D134" s="78">
        <f>IFERROR(D93/D133,"0")</f>
        <v>188.23529411764707</v>
      </c>
      <c r="F134" s="219" t="s">
        <v>147</v>
      </c>
      <c r="G134" s="72" t="s">
        <v>184</v>
      </c>
      <c r="H134" s="72" t="s">
        <v>95</v>
      </c>
      <c r="I134" s="55">
        <f>I128+D146+D157</f>
        <v>292.80852058098617</v>
      </c>
    </row>
    <row r="135" spans="1:16" ht="30" x14ac:dyDescent="0.25">
      <c r="A135" s="220" t="s">
        <v>140</v>
      </c>
      <c r="B135" s="31" t="s">
        <v>447</v>
      </c>
      <c r="C135" s="31" t="s">
        <v>584</v>
      </c>
      <c r="D135" s="131">
        <f>IFERROR(D95/D133,"0")</f>
        <v>1.1764705882352942</v>
      </c>
      <c r="F135" s="219" t="s">
        <v>148</v>
      </c>
      <c r="G135" s="72" t="s">
        <v>326</v>
      </c>
      <c r="H135" s="72" t="s">
        <v>224</v>
      </c>
      <c r="I135" s="66">
        <f>I129+D158</f>
        <v>17.098445481220924</v>
      </c>
    </row>
    <row r="136" spans="1:16" ht="30" x14ac:dyDescent="0.25">
      <c r="A136" s="21"/>
      <c r="B136" s="21" t="s">
        <v>449</v>
      </c>
      <c r="C136" s="21" t="s">
        <v>489</v>
      </c>
      <c r="D136" s="239">
        <v>0.85</v>
      </c>
      <c r="F136" s="220" t="s">
        <v>149</v>
      </c>
      <c r="G136" s="223" t="s">
        <v>144</v>
      </c>
      <c r="H136" s="223" t="s">
        <v>145</v>
      </c>
      <c r="I136" s="67">
        <f>I130+D147+D159</f>
        <v>1979.9018468555785</v>
      </c>
      <c r="J136" s="14"/>
    </row>
    <row r="137" spans="1:16" x14ac:dyDescent="0.25">
      <c r="A137" s="220" t="s">
        <v>142</v>
      </c>
      <c r="B137" s="31" t="s">
        <v>561</v>
      </c>
      <c r="C137" s="31" t="s">
        <v>450</v>
      </c>
      <c r="D137" s="60">
        <f>IFERROR(D97/D136,"0")</f>
        <v>164.70588235294119</v>
      </c>
      <c r="F137" s="21"/>
      <c r="G137" s="21"/>
      <c r="H137" s="21"/>
      <c r="J137" s="14"/>
    </row>
    <row r="138" spans="1:16" x14ac:dyDescent="0.25">
      <c r="A138" s="219" t="s">
        <v>64</v>
      </c>
      <c r="B138" s="76" t="s">
        <v>305</v>
      </c>
      <c r="C138" s="76" t="s">
        <v>323</v>
      </c>
      <c r="D138" s="79">
        <f>D132-D134-D135-D137</f>
        <v>2735.882352941177</v>
      </c>
      <c r="F138" s="283" t="s">
        <v>566</v>
      </c>
      <c r="G138" s="284"/>
      <c r="H138" s="284"/>
      <c r="I138" s="285"/>
      <c r="J138" s="150"/>
    </row>
    <row r="139" spans="1:16" x14ac:dyDescent="0.25">
      <c r="A139" s="221"/>
      <c r="B139" s="197"/>
      <c r="C139" s="82" t="s">
        <v>90</v>
      </c>
      <c r="D139" s="127"/>
      <c r="F139" s="222" t="s">
        <v>99</v>
      </c>
      <c r="G139" s="196" t="s">
        <v>39</v>
      </c>
      <c r="H139" s="196" t="s">
        <v>40</v>
      </c>
      <c r="I139" s="64" t="s">
        <v>29</v>
      </c>
      <c r="J139" s="14"/>
    </row>
    <row r="140" spans="1:16" x14ac:dyDescent="0.25">
      <c r="A140" s="219"/>
      <c r="B140" s="21" t="s">
        <v>361</v>
      </c>
      <c r="C140" s="21" t="s">
        <v>544</v>
      </c>
      <c r="D140" s="123">
        <v>95</v>
      </c>
      <c r="F140" s="220" t="s">
        <v>179</v>
      </c>
      <c r="G140" s="223" t="s">
        <v>472</v>
      </c>
      <c r="H140" s="223" t="s">
        <v>262</v>
      </c>
      <c r="I140" s="131">
        <f>D145+D155</f>
        <v>270</v>
      </c>
      <c r="J140" s="150"/>
    </row>
    <row r="141" spans="1:16" x14ac:dyDescent="0.25">
      <c r="A141" s="219"/>
      <c r="B141" s="21" t="s">
        <v>362</v>
      </c>
      <c r="C141" s="21" t="s">
        <v>356</v>
      </c>
      <c r="D141" s="123">
        <v>5</v>
      </c>
      <c r="F141" s="221" t="s">
        <v>180</v>
      </c>
      <c r="G141" s="226" t="s">
        <v>473</v>
      </c>
      <c r="H141" s="226" t="s">
        <v>94</v>
      </c>
      <c r="I141" s="168">
        <f>D156</f>
        <v>87</v>
      </c>
    </row>
    <row r="142" spans="1:16" x14ac:dyDescent="0.25">
      <c r="A142" s="219"/>
      <c r="B142" s="21" t="s">
        <v>363</v>
      </c>
      <c r="C142" s="21" t="s">
        <v>358</v>
      </c>
      <c r="D142" s="123">
        <v>0</v>
      </c>
      <c r="F142" s="219" t="s">
        <v>181</v>
      </c>
      <c r="G142" s="72" t="s">
        <v>474</v>
      </c>
      <c r="H142" s="72" t="s">
        <v>95</v>
      </c>
      <c r="I142" s="238">
        <f>D146+D157</f>
        <v>70</v>
      </c>
    </row>
    <row r="143" spans="1:16" x14ac:dyDescent="0.25">
      <c r="A143" s="219"/>
      <c r="B143" s="21" t="s">
        <v>264</v>
      </c>
      <c r="C143" s="21" t="s">
        <v>83</v>
      </c>
      <c r="D143" s="123">
        <v>50</v>
      </c>
      <c r="F143" s="219" t="s">
        <v>182</v>
      </c>
      <c r="G143" s="72" t="s">
        <v>475</v>
      </c>
      <c r="H143" s="72" t="s">
        <v>224</v>
      </c>
      <c r="I143" s="79">
        <f>D158</f>
        <v>1</v>
      </c>
    </row>
    <row r="144" spans="1:16" x14ac:dyDescent="0.25">
      <c r="A144" s="219"/>
      <c r="B144" s="21" t="s">
        <v>265</v>
      </c>
      <c r="C144" s="21" t="s">
        <v>436</v>
      </c>
      <c r="D144" s="123">
        <v>10</v>
      </c>
      <c r="F144" s="220" t="s">
        <v>185</v>
      </c>
      <c r="G144" s="223" t="s">
        <v>476</v>
      </c>
      <c r="H144" s="223" t="s">
        <v>145</v>
      </c>
      <c r="I144" s="131">
        <f>D147+D159</f>
        <v>112</v>
      </c>
    </row>
    <row r="145" spans="1:9" x14ac:dyDescent="0.25">
      <c r="A145" s="219" t="s">
        <v>65</v>
      </c>
      <c r="B145" s="76" t="s">
        <v>191</v>
      </c>
      <c r="C145" s="76" t="s">
        <v>545</v>
      </c>
      <c r="D145" s="79">
        <f>SUM(D140:D144)</f>
        <v>160</v>
      </c>
    </row>
    <row r="146" spans="1:9" ht="30" x14ac:dyDescent="0.25">
      <c r="A146" s="219"/>
      <c r="B146" s="21" t="s">
        <v>168</v>
      </c>
      <c r="C146" s="21" t="s">
        <v>19</v>
      </c>
      <c r="D146" s="59">
        <v>65</v>
      </c>
      <c r="F146" s="286" t="s">
        <v>567</v>
      </c>
      <c r="G146" s="287"/>
      <c r="H146" s="287"/>
      <c r="I146" s="288"/>
    </row>
    <row r="147" spans="1:9" ht="30" x14ac:dyDescent="0.25">
      <c r="A147" s="219"/>
      <c r="B147" s="21" t="s">
        <v>137</v>
      </c>
      <c r="C147" s="21" t="s">
        <v>343</v>
      </c>
      <c r="D147" s="59">
        <v>95</v>
      </c>
      <c r="F147" s="54" t="s">
        <v>99</v>
      </c>
      <c r="G147" s="27" t="s">
        <v>39</v>
      </c>
      <c r="H147" s="27" t="s">
        <v>40</v>
      </c>
      <c r="I147" s="64" t="s">
        <v>29</v>
      </c>
    </row>
    <row r="148" spans="1:9" x14ac:dyDescent="0.25">
      <c r="A148" s="219" t="s">
        <v>143</v>
      </c>
      <c r="B148" s="76" t="s">
        <v>191</v>
      </c>
      <c r="C148" s="76" t="s">
        <v>546</v>
      </c>
      <c r="D148" s="79">
        <f>SUM(D146:D147)</f>
        <v>160</v>
      </c>
      <c r="F148" s="219" t="s">
        <v>186</v>
      </c>
      <c r="G148" s="33" t="s">
        <v>271</v>
      </c>
      <c r="H148" s="33" t="s">
        <v>267</v>
      </c>
      <c r="I148" s="77">
        <f>D121/D124</f>
        <v>0.9293739967897271</v>
      </c>
    </row>
    <row r="149" spans="1:9" ht="30" x14ac:dyDescent="0.25">
      <c r="A149" s="220"/>
      <c r="B149" s="178"/>
      <c r="C149" s="31" t="s">
        <v>269</v>
      </c>
      <c r="D149" s="128">
        <f>D145-D148</f>
        <v>0</v>
      </c>
      <c r="F149" s="219" t="s">
        <v>187</v>
      </c>
      <c r="G149" s="33" t="s">
        <v>310</v>
      </c>
      <c r="H149" s="33" t="s">
        <v>315</v>
      </c>
      <c r="I149" s="78">
        <f>D132-I148*D127</f>
        <v>283.29052969502436</v>
      </c>
    </row>
    <row r="150" spans="1:9" ht="30" x14ac:dyDescent="0.25">
      <c r="A150" s="221"/>
      <c r="B150" s="197"/>
      <c r="C150" s="83" t="s">
        <v>351</v>
      </c>
      <c r="D150" s="129"/>
      <c r="F150" s="219" t="s">
        <v>344</v>
      </c>
      <c r="G150" s="33" t="s">
        <v>309</v>
      </c>
      <c r="H150" s="33" t="s">
        <v>316</v>
      </c>
      <c r="I150" s="79">
        <f>I149-D134-D135-D137</f>
        <v>-70.827117363799189</v>
      </c>
    </row>
    <row r="151" spans="1:9" x14ac:dyDescent="0.25">
      <c r="A151" s="219"/>
      <c r="B151" s="21" t="s">
        <v>16</v>
      </c>
      <c r="C151" s="21" t="s">
        <v>14</v>
      </c>
      <c r="D151" s="123">
        <v>20</v>
      </c>
      <c r="F151" s="219" t="s">
        <v>451</v>
      </c>
      <c r="G151" s="33" t="s">
        <v>192</v>
      </c>
      <c r="H151" s="33" t="s">
        <v>261</v>
      </c>
      <c r="I151" s="79">
        <f>D145-I148*D140</f>
        <v>71.709470304975923</v>
      </c>
    </row>
    <row r="152" spans="1:9" x14ac:dyDescent="0.25">
      <c r="A152" s="219"/>
      <c r="B152" s="21" t="s">
        <v>15</v>
      </c>
      <c r="C152" s="21" t="s">
        <v>13</v>
      </c>
      <c r="D152" s="123">
        <v>88</v>
      </c>
      <c r="F152" s="220" t="s">
        <v>478</v>
      </c>
      <c r="G152" s="73" t="s">
        <v>260</v>
      </c>
      <c r="H152" s="73" t="s">
        <v>263</v>
      </c>
      <c r="I152" s="67">
        <f>I150+I151+D155-I121</f>
        <v>110.88235294117673</v>
      </c>
    </row>
    <row r="153" spans="1:9" x14ac:dyDescent="0.25">
      <c r="A153" s="219"/>
      <c r="B153" s="21" t="s">
        <v>345</v>
      </c>
      <c r="C153" s="21" t="s">
        <v>348</v>
      </c>
      <c r="D153" s="123">
        <v>1</v>
      </c>
    </row>
    <row r="154" spans="1:9" x14ac:dyDescent="0.25">
      <c r="A154" s="219"/>
      <c r="B154" s="21" t="s">
        <v>346</v>
      </c>
      <c r="C154" s="21" t="s">
        <v>347</v>
      </c>
      <c r="D154" s="123">
        <v>1</v>
      </c>
    </row>
    <row r="155" spans="1:9" x14ac:dyDescent="0.25">
      <c r="A155" s="219" t="s">
        <v>66</v>
      </c>
      <c r="B155" s="76" t="s">
        <v>207</v>
      </c>
      <c r="C155" s="76" t="s">
        <v>547</v>
      </c>
      <c r="D155" s="79">
        <f>D152+D151+D153+D154</f>
        <v>110</v>
      </c>
    </row>
    <row r="156" spans="1:9" ht="30" x14ac:dyDescent="0.25">
      <c r="A156" s="219"/>
      <c r="B156" s="21" t="s">
        <v>169</v>
      </c>
      <c r="C156" s="21" t="s">
        <v>173</v>
      </c>
      <c r="D156" s="123">
        <v>87</v>
      </c>
    </row>
    <row r="157" spans="1:9" ht="45" x14ac:dyDescent="0.25">
      <c r="A157" s="219"/>
      <c r="B157" s="21" t="s">
        <v>170</v>
      </c>
      <c r="C157" s="21" t="s">
        <v>171</v>
      </c>
      <c r="D157" s="123">
        <v>5</v>
      </c>
    </row>
    <row r="158" spans="1:9" ht="30" x14ac:dyDescent="0.25">
      <c r="A158" s="219"/>
      <c r="B158" s="21" t="s">
        <v>208</v>
      </c>
      <c r="C158" s="21" t="s">
        <v>206</v>
      </c>
      <c r="D158" s="123">
        <v>1</v>
      </c>
    </row>
    <row r="159" spans="1:9" ht="30" x14ac:dyDescent="0.25">
      <c r="A159" s="219"/>
      <c r="B159" s="21" t="s">
        <v>138</v>
      </c>
      <c r="C159" s="21" t="s">
        <v>174</v>
      </c>
      <c r="D159" s="123">
        <v>17</v>
      </c>
    </row>
    <row r="160" spans="1:9" x14ac:dyDescent="0.25">
      <c r="A160" s="219" t="s">
        <v>477</v>
      </c>
      <c r="B160" s="76" t="s">
        <v>207</v>
      </c>
      <c r="C160" s="76" t="s">
        <v>548</v>
      </c>
      <c r="D160" s="79">
        <f>D156+D157+D158+D159</f>
        <v>110</v>
      </c>
    </row>
    <row r="161" spans="1:16" x14ac:dyDescent="0.25">
      <c r="A161" s="220"/>
      <c r="B161" s="178"/>
      <c r="C161" s="31" t="s">
        <v>172</v>
      </c>
      <c r="D161" s="128">
        <f>D155-D160</f>
        <v>0</v>
      </c>
    </row>
    <row r="162" spans="1:16" x14ac:dyDescent="0.25">
      <c r="C162" s="29"/>
      <c r="D162" s="45"/>
    </row>
    <row r="163" spans="1:16" x14ac:dyDescent="0.25">
      <c r="A163" s="44"/>
      <c r="B163" s="6"/>
      <c r="C163" s="6"/>
      <c r="D163" s="6"/>
      <c r="E163" s="6"/>
      <c r="F163" s="6"/>
      <c r="G163" s="6"/>
      <c r="H163" s="6"/>
      <c r="I163" s="6"/>
      <c r="J163" s="6"/>
      <c r="K163" s="6"/>
      <c r="L163" s="6"/>
      <c r="M163" s="6"/>
      <c r="N163" s="6"/>
      <c r="O163" s="6"/>
      <c r="P163" s="6"/>
    </row>
    <row r="164" spans="1:16" ht="21.75" thickBot="1" x14ac:dyDescent="0.4">
      <c r="A164" s="5" t="s">
        <v>51</v>
      </c>
      <c r="C164" s="2"/>
      <c r="D164" s="2"/>
    </row>
    <row r="165" spans="1:16" ht="21" x14ac:dyDescent="0.35">
      <c r="A165" s="54" t="s">
        <v>99</v>
      </c>
      <c r="B165" s="27" t="s">
        <v>39</v>
      </c>
      <c r="C165" s="27" t="s">
        <v>40</v>
      </c>
      <c r="D165" s="64" t="s">
        <v>29</v>
      </c>
      <c r="F165" s="54" t="s">
        <v>99</v>
      </c>
      <c r="G165" s="27" t="s">
        <v>39</v>
      </c>
      <c r="H165" s="27" t="s">
        <v>40</v>
      </c>
      <c r="I165" s="64" t="s">
        <v>29</v>
      </c>
      <c r="K165" s="80" t="s">
        <v>67</v>
      </c>
      <c r="L165" s="117"/>
      <c r="M165" s="117"/>
      <c r="N165" s="117"/>
      <c r="O165" s="117"/>
      <c r="P165" s="154"/>
    </row>
    <row r="166" spans="1:16" ht="15.75" x14ac:dyDescent="0.25">
      <c r="A166" s="227"/>
      <c r="B166" s="228"/>
      <c r="C166" s="82" t="s">
        <v>89</v>
      </c>
      <c r="D166" s="23"/>
      <c r="F166" s="220" t="s">
        <v>78</v>
      </c>
      <c r="G166" s="223" t="s">
        <v>330</v>
      </c>
      <c r="H166" s="223" t="s">
        <v>331</v>
      </c>
      <c r="I166" s="67">
        <f>D175+D179+D187</f>
        <v>211.42358863718087</v>
      </c>
      <c r="K166" s="273" t="s">
        <v>571</v>
      </c>
      <c r="L166" s="274"/>
      <c r="M166" s="274"/>
      <c r="N166" s="274"/>
      <c r="O166" s="274"/>
      <c r="P166" s="275"/>
    </row>
    <row r="167" spans="1:16" x14ac:dyDescent="0.25">
      <c r="A167" s="240"/>
      <c r="B167" s="21" t="s">
        <v>306</v>
      </c>
      <c r="C167" s="21" t="s">
        <v>83</v>
      </c>
      <c r="D167" s="130">
        <f>D130</f>
        <v>50</v>
      </c>
      <c r="F167" s="21"/>
      <c r="G167" s="21"/>
      <c r="H167" s="21"/>
      <c r="K167" s="276" t="s">
        <v>572</v>
      </c>
      <c r="L167" s="277"/>
      <c r="M167" s="277"/>
      <c r="N167" s="277"/>
      <c r="O167" s="277"/>
      <c r="P167" s="278"/>
    </row>
    <row r="168" spans="1:16" x14ac:dyDescent="0.25">
      <c r="A168" s="240"/>
      <c r="B168" s="21" t="s">
        <v>307</v>
      </c>
      <c r="C168" s="21" t="s">
        <v>436</v>
      </c>
      <c r="D168" s="130">
        <f>D131</f>
        <v>20</v>
      </c>
      <c r="F168" s="222" t="s">
        <v>99</v>
      </c>
      <c r="G168" s="196" t="s">
        <v>39</v>
      </c>
      <c r="H168" s="196" t="s">
        <v>40</v>
      </c>
      <c r="I168" s="64" t="s">
        <v>29</v>
      </c>
      <c r="K168" s="202"/>
      <c r="L168" s="203"/>
      <c r="M168" s="181" t="s">
        <v>530</v>
      </c>
      <c r="N168" s="182" t="s">
        <v>530</v>
      </c>
      <c r="O168" s="181" t="s">
        <v>531</v>
      </c>
      <c r="P168" s="183" t="s">
        <v>531</v>
      </c>
    </row>
    <row r="169" spans="1:16" ht="30" x14ac:dyDescent="0.25">
      <c r="A169" s="219" t="s">
        <v>100</v>
      </c>
      <c r="B169" s="76" t="s">
        <v>320</v>
      </c>
      <c r="C169" s="76" t="s">
        <v>324</v>
      </c>
      <c r="D169" s="65">
        <f>D167+D168</f>
        <v>70</v>
      </c>
      <c r="F169" s="219" t="s">
        <v>96</v>
      </c>
      <c r="G169" s="72" t="s">
        <v>317</v>
      </c>
      <c r="H169" s="72" t="s">
        <v>23</v>
      </c>
      <c r="I169" s="242">
        <f>$D$175*(I110-($D$90-$D$94))/($D$100-($D$90-$D$94))</f>
        <v>14.353332058573223</v>
      </c>
      <c r="K169" s="205" t="s">
        <v>510</v>
      </c>
      <c r="L169" s="164" t="s">
        <v>417</v>
      </c>
      <c r="M169" s="185" t="s">
        <v>99</v>
      </c>
      <c r="N169" s="164" t="s">
        <v>391</v>
      </c>
      <c r="O169" s="185" t="s">
        <v>99</v>
      </c>
      <c r="P169" s="229" t="s">
        <v>391</v>
      </c>
    </row>
    <row r="170" spans="1:16" ht="75" x14ac:dyDescent="0.25">
      <c r="A170" s="219"/>
      <c r="B170" s="21" t="s">
        <v>549</v>
      </c>
      <c r="C170" s="21" t="s">
        <v>590</v>
      </c>
      <c r="D170" s="126">
        <v>0.9</v>
      </c>
      <c r="F170" s="219" t="s">
        <v>97</v>
      </c>
      <c r="G170" s="72" t="s">
        <v>318</v>
      </c>
      <c r="H170" s="72" t="s">
        <v>24</v>
      </c>
      <c r="I170" s="243">
        <f>$D$175*I111/($D$100-($D$90-$D$94))</f>
        <v>5.0837373977920342</v>
      </c>
      <c r="K170" s="187" t="s">
        <v>526</v>
      </c>
      <c r="L170" s="161" t="s">
        <v>430</v>
      </c>
      <c r="M170" s="181" t="s">
        <v>498</v>
      </c>
      <c r="N170" s="190">
        <f>1000*I166/D54</f>
        <v>0.45467438416598033</v>
      </c>
      <c r="O170" s="181" t="s">
        <v>554</v>
      </c>
      <c r="P170" s="207">
        <f>1000*I182/D54</f>
        <v>0.32043010752688172</v>
      </c>
    </row>
    <row r="171" spans="1:16" ht="30" x14ac:dyDescent="0.25">
      <c r="A171" s="219" t="s">
        <v>92</v>
      </c>
      <c r="B171" s="76" t="s">
        <v>586</v>
      </c>
      <c r="C171" s="76" t="s">
        <v>587</v>
      </c>
      <c r="D171" s="237">
        <f>IFERROR((D169/D132)*(D93/D170),"0")</f>
        <v>4.0273282991729591</v>
      </c>
      <c r="E171" s="13"/>
      <c r="F171" s="219" t="s">
        <v>98</v>
      </c>
      <c r="G171" s="72" t="s">
        <v>328</v>
      </c>
      <c r="H171" s="72" t="s">
        <v>225</v>
      </c>
      <c r="I171" s="243">
        <f>$D$175*I112/($D$100-($D$90-$D$94))</f>
        <v>0.36731211681580095</v>
      </c>
      <c r="K171" s="187" t="s">
        <v>519</v>
      </c>
      <c r="L171" s="161" t="s">
        <v>425</v>
      </c>
      <c r="M171" s="181" t="s">
        <v>499</v>
      </c>
      <c r="N171" s="188">
        <f>1000*I175/D48</f>
        <v>0.24419819475290058</v>
      </c>
      <c r="O171" s="181" t="s">
        <v>555</v>
      </c>
      <c r="P171" s="206">
        <f>1000*I183/D48</f>
        <v>0.20540540540540542</v>
      </c>
    </row>
    <row r="172" spans="1:16" ht="30" x14ac:dyDescent="0.25">
      <c r="A172" s="225" t="s">
        <v>69</v>
      </c>
      <c r="B172" s="31" t="s">
        <v>452</v>
      </c>
      <c r="C172" s="31" t="s">
        <v>588</v>
      </c>
      <c r="D172" s="244">
        <f>IFERROR((D169/D132)*(D95/D170),"0")</f>
        <v>2.5170801869830998E-2</v>
      </c>
      <c r="E172" s="13"/>
      <c r="F172" s="220" t="s">
        <v>153</v>
      </c>
      <c r="G172" s="223" t="s">
        <v>319</v>
      </c>
      <c r="H172" s="223" t="s">
        <v>152</v>
      </c>
      <c r="I172" s="244">
        <f>$D$175*I113/($D$100-($D$90-$D$94))</f>
        <v>42.619207063999816</v>
      </c>
      <c r="K172" s="187" t="s">
        <v>524</v>
      </c>
      <c r="L172" s="161"/>
      <c r="M172" s="181" t="s">
        <v>500</v>
      </c>
      <c r="N172" s="188">
        <f>IFERROR(1000*I176/D49,"-")</f>
        <v>1.2816747479558408</v>
      </c>
      <c r="O172" s="181" t="s">
        <v>556</v>
      </c>
      <c r="P172" s="206">
        <f>IFERROR(1000*I184/D49,"-")</f>
        <v>1.18</v>
      </c>
    </row>
    <row r="173" spans="1:16" ht="60" x14ac:dyDescent="0.25">
      <c r="A173" s="21"/>
      <c r="B173" s="21" t="s">
        <v>453</v>
      </c>
      <c r="C173" s="21" t="s">
        <v>454</v>
      </c>
      <c r="D173" s="239">
        <v>0.9</v>
      </c>
      <c r="E173" s="13"/>
      <c r="F173" s="241"/>
      <c r="G173" s="72"/>
      <c r="H173" s="72"/>
      <c r="I173" s="149"/>
      <c r="K173" s="187" t="s">
        <v>527</v>
      </c>
      <c r="L173" s="161" t="s">
        <v>425</v>
      </c>
      <c r="M173" s="181" t="s">
        <v>501</v>
      </c>
      <c r="N173" s="188">
        <f>IFERROR(1000*(I175/D48+I176/D49),"-")</f>
        <v>1.5258729427087414</v>
      </c>
      <c r="O173" s="181" t="s">
        <v>557</v>
      </c>
      <c r="P173" s="206">
        <f>IFERROR(1000*(I183/D48+I184/D49),"-")</f>
        <v>1.3854054054054055</v>
      </c>
    </row>
    <row r="174" spans="1:16" ht="15.75" x14ac:dyDescent="0.25">
      <c r="A174" s="219" t="s">
        <v>70</v>
      </c>
      <c r="B174" s="76" t="s">
        <v>562</v>
      </c>
      <c r="C174" s="76" t="s">
        <v>455</v>
      </c>
      <c r="D174" s="237">
        <f>IFERROR((D169/D132)*(D97/D173),0)</f>
        <v>3.5239122617763394</v>
      </c>
      <c r="E174" s="13"/>
      <c r="F174" s="222" t="s">
        <v>99</v>
      </c>
      <c r="G174" s="196" t="s">
        <v>39</v>
      </c>
      <c r="H174" s="196" t="s">
        <v>40</v>
      </c>
      <c r="I174" s="64" t="s">
        <v>29</v>
      </c>
      <c r="K174" s="187" t="s">
        <v>523</v>
      </c>
      <c r="L174" s="162" t="s">
        <v>431</v>
      </c>
      <c r="M174" s="181" t="s">
        <v>502</v>
      </c>
      <c r="N174" s="190">
        <f>IFERROR(1000*(I177/D50+I178/D52),"-")</f>
        <v>0.20238779153717515</v>
      </c>
      <c r="O174" s="181" t="s">
        <v>558</v>
      </c>
      <c r="P174" s="207">
        <f>IFERROR(1000*(I185/D50+I186/D52),"-")</f>
        <v>8.1325301204819275E-2</v>
      </c>
    </row>
    <row r="175" spans="1:16" ht="16.5" thickBot="1" x14ac:dyDescent="0.3">
      <c r="A175" s="219" t="s">
        <v>71</v>
      </c>
      <c r="B175" s="76" t="s">
        <v>321</v>
      </c>
      <c r="C175" s="31" t="s">
        <v>325</v>
      </c>
      <c r="D175" s="131">
        <f>D169-D171-D172-D174</f>
        <v>62.423588637180863</v>
      </c>
      <c r="E175" s="13"/>
      <c r="F175" s="219" t="s">
        <v>154</v>
      </c>
      <c r="G175" s="72" t="s">
        <v>284</v>
      </c>
      <c r="H175" s="72" t="s">
        <v>75</v>
      </c>
      <c r="I175" s="55">
        <f>I169+D188</f>
        <v>90.353332058573216</v>
      </c>
      <c r="K175" s="191" t="s">
        <v>522</v>
      </c>
      <c r="L175" s="163" t="s">
        <v>431</v>
      </c>
      <c r="M175" s="192" t="s">
        <v>503</v>
      </c>
      <c r="N175" s="209">
        <f>1000*(I178/D52)</f>
        <v>0.1340221856963851</v>
      </c>
      <c r="O175" s="192" t="s">
        <v>589</v>
      </c>
      <c r="P175" s="218">
        <f>1000*(I186/D52)</f>
        <v>3.1325301204819272E-2</v>
      </c>
    </row>
    <row r="176" spans="1:16" ht="15.75" x14ac:dyDescent="0.25">
      <c r="A176" s="227"/>
      <c r="B176" s="228"/>
      <c r="C176" s="82" t="s">
        <v>272</v>
      </c>
      <c r="D176" s="23"/>
      <c r="E176" s="13"/>
      <c r="F176" s="219" t="s">
        <v>157</v>
      </c>
      <c r="G176" s="72" t="s">
        <v>285</v>
      </c>
      <c r="H176" s="72" t="s">
        <v>76</v>
      </c>
      <c r="I176" s="53">
        <f>I170+D180+D189</f>
        <v>64.083737397792035</v>
      </c>
    </row>
    <row r="177" spans="1:10" ht="15.75" x14ac:dyDescent="0.25">
      <c r="A177" s="219"/>
      <c r="B177" s="21" t="s">
        <v>264</v>
      </c>
      <c r="C177" s="21" t="s">
        <v>83</v>
      </c>
      <c r="D177" s="140">
        <f>D143</f>
        <v>50</v>
      </c>
      <c r="E177" s="13"/>
      <c r="F177" s="219" t="s">
        <v>158</v>
      </c>
      <c r="G177" s="72" t="s">
        <v>329</v>
      </c>
      <c r="H177" s="72" t="s">
        <v>226</v>
      </c>
      <c r="I177" s="62">
        <f>I171+D190</f>
        <v>1.3673121168158009</v>
      </c>
    </row>
    <row r="178" spans="1:10" ht="15.75" x14ac:dyDescent="0.25">
      <c r="A178" s="219"/>
      <c r="B178" s="21" t="s">
        <v>265</v>
      </c>
      <c r="C178" s="21" t="s">
        <v>436</v>
      </c>
      <c r="D178" s="140">
        <f>D144</f>
        <v>10</v>
      </c>
      <c r="E178" s="13"/>
      <c r="F178" s="220" t="s">
        <v>159</v>
      </c>
      <c r="G178" s="223" t="s">
        <v>156</v>
      </c>
      <c r="H178" s="223" t="s">
        <v>155</v>
      </c>
      <c r="I178" s="52">
        <f>I172+D181+D191</f>
        <v>55.619207063999816</v>
      </c>
      <c r="J178" s="151"/>
    </row>
    <row r="179" spans="1:10" ht="15.75" x14ac:dyDescent="0.25">
      <c r="A179" s="219" t="s">
        <v>72</v>
      </c>
      <c r="B179" s="76" t="s">
        <v>278</v>
      </c>
      <c r="C179" s="76" t="s">
        <v>279</v>
      </c>
      <c r="D179" s="65">
        <f>D177+D178</f>
        <v>60</v>
      </c>
      <c r="E179" s="13"/>
      <c r="F179" s="21"/>
      <c r="G179" s="21"/>
      <c r="H179" s="21"/>
    </row>
    <row r="180" spans="1:10" ht="30" x14ac:dyDescent="0.25">
      <c r="A180" s="219"/>
      <c r="B180" s="21" t="s">
        <v>210</v>
      </c>
      <c r="C180" s="21" t="s">
        <v>91</v>
      </c>
      <c r="D180" s="59">
        <v>55</v>
      </c>
      <c r="E180" s="13"/>
      <c r="F180" s="283" t="s">
        <v>573</v>
      </c>
      <c r="G180" s="284"/>
      <c r="H180" s="284"/>
      <c r="I180" s="285"/>
    </row>
    <row r="181" spans="1:10" ht="15.75" x14ac:dyDescent="0.25">
      <c r="A181" s="219"/>
      <c r="B181" s="21" t="s">
        <v>211</v>
      </c>
      <c r="C181" s="21" t="s">
        <v>150</v>
      </c>
      <c r="D181" s="119">
        <v>5</v>
      </c>
      <c r="E181" s="13"/>
      <c r="F181" s="222" t="s">
        <v>99</v>
      </c>
      <c r="G181" s="196" t="s">
        <v>39</v>
      </c>
      <c r="H181" s="196" t="s">
        <v>40</v>
      </c>
      <c r="I181" s="64" t="s">
        <v>29</v>
      </c>
    </row>
    <row r="182" spans="1:10" ht="15.75" x14ac:dyDescent="0.25">
      <c r="A182" s="219" t="s">
        <v>73</v>
      </c>
      <c r="B182" s="76" t="s">
        <v>278</v>
      </c>
      <c r="C182" s="76" t="s">
        <v>280</v>
      </c>
      <c r="D182" s="65">
        <f>D180+D181</f>
        <v>60</v>
      </c>
      <c r="E182" s="13"/>
      <c r="F182" s="220" t="s">
        <v>160</v>
      </c>
      <c r="G182" s="223" t="s">
        <v>492</v>
      </c>
      <c r="H182" s="223" t="s">
        <v>331</v>
      </c>
      <c r="I182" s="67">
        <f>D179+D187</f>
        <v>149</v>
      </c>
    </row>
    <row r="183" spans="1:10" ht="15.75" x14ac:dyDescent="0.25">
      <c r="A183" s="220"/>
      <c r="B183" s="178"/>
      <c r="C183" s="31" t="s">
        <v>84</v>
      </c>
      <c r="D183" s="128">
        <f>D179-D182</f>
        <v>0</v>
      </c>
      <c r="E183" s="13"/>
      <c r="F183" s="219" t="s">
        <v>161</v>
      </c>
      <c r="G183" s="72" t="s">
        <v>493</v>
      </c>
      <c r="H183" s="72" t="s">
        <v>75</v>
      </c>
      <c r="I183" s="55">
        <f>D188</f>
        <v>76</v>
      </c>
    </row>
    <row r="184" spans="1:10" ht="30" x14ac:dyDescent="0.25">
      <c r="A184" s="227"/>
      <c r="B184" s="228"/>
      <c r="C184" s="83" t="s">
        <v>350</v>
      </c>
      <c r="D184" s="132"/>
      <c r="E184" s="13"/>
      <c r="F184" s="219" t="s">
        <v>188</v>
      </c>
      <c r="G184" s="72" t="s">
        <v>494</v>
      </c>
      <c r="H184" s="72" t="s">
        <v>76</v>
      </c>
      <c r="I184" s="53">
        <f>D180+D189</f>
        <v>59</v>
      </c>
    </row>
    <row r="185" spans="1:10" ht="15.75" x14ac:dyDescent="0.25">
      <c r="A185" s="240"/>
      <c r="B185" s="21" t="s">
        <v>15</v>
      </c>
      <c r="C185" s="21" t="s">
        <v>13</v>
      </c>
      <c r="D185" s="140">
        <f>D152</f>
        <v>88</v>
      </c>
      <c r="E185" s="13"/>
      <c r="F185" s="219" t="s">
        <v>456</v>
      </c>
      <c r="G185" s="72" t="s">
        <v>495</v>
      </c>
      <c r="H185" s="72" t="s">
        <v>226</v>
      </c>
      <c r="I185" s="62">
        <f>D190</f>
        <v>1</v>
      </c>
    </row>
    <row r="186" spans="1:10" ht="15.75" x14ac:dyDescent="0.25">
      <c r="A186" s="240"/>
      <c r="B186" s="21" t="s">
        <v>346</v>
      </c>
      <c r="C186" s="21" t="s">
        <v>349</v>
      </c>
      <c r="D186" s="130">
        <f>D154</f>
        <v>1</v>
      </c>
      <c r="E186" s="13"/>
      <c r="F186" s="220" t="s">
        <v>497</v>
      </c>
      <c r="G186" s="223" t="s">
        <v>496</v>
      </c>
      <c r="H186" s="223" t="s">
        <v>155</v>
      </c>
      <c r="I186" s="52">
        <f>D181+D191</f>
        <v>13</v>
      </c>
      <c r="J186" s="151"/>
    </row>
    <row r="187" spans="1:10" x14ac:dyDescent="0.25">
      <c r="A187" s="219" t="s">
        <v>74</v>
      </c>
      <c r="B187" s="76" t="s">
        <v>283</v>
      </c>
      <c r="C187" s="76" t="s">
        <v>281</v>
      </c>
      <c r="D187" s="65">
        <f>D185+D186</f>
        <v>89</v>
      </c>
    </row>
    <row r="188" spans="1:10" ht="30" x14ac:dyDescent="0.25">
      <c r="A188" s="219"/>
      <c r="B188" s="21" t="s">
        <v>273</v>
      </c>
      <c r="C188" s="21" t="s">
        <v>93</v>
      </c>
      <c r="D188" s="59">
        <v>76</v>
      </c>
    </row>
    <row r="189" spans="1:10" ht="45" x14ac:dyDescent="0.25">
      <c r="A189" s="219"/>
      <c r="B189" s="21" t="s">
        <v>274</v>
      </c>
      <c r="C189" s="21" t="s">
        <v>151</v>
      </c>
      <c r="D189" s="59">
        <v>4</v>
      </c>
    </row>
    <row r="190" spans="1:10" ht="30" x14ac:dyDescent="0.25">
      <c r="A190" s="219"/>
      <c r="B190" s="21" t="s">
        <v>327</v>
      </c>
      <c r="C190" s="21" t="s">
        <v>276</v>
      </c>
      <c r="D190" s="59">
        <v>1</v>
      </c>
    </row>
    <row r="191" spans="1:10" ht="30" x14ac:dyDescent="0.25">
      <c r="A191" s="219"/>
      <c r="B191" s="21" t="s">
        <v>275</v>
      </c>
      <c r="C191" s="21" t="s">
        <v>277</v>
      </c>
      <c r="D191" s="59">
        <v>8</v>
      </c>
    </row>
    <row r="192" spans="1:10" x14ac:dyDescent="0.25">
      <c r="A192" s="219" t="s">
        <v>77</v>
      </c>
      <c r="B192" s="76" t="s">
        <v>283</v>
      </c>
      <c r="C192" s="76" t="s">
        <v>282</v>
      </c>
      <c r="D192" s="65">
        <f>D188+D189+D190+D191</f>
        <v>89</v>
      </c>
    </row>
    <row r="193" spans="1:16" x14ac:dyDescent="0.25">
      <c r="A193" s="51"/>
      <c r="B193" s="2"/>
      <c r="C193" s="31" t="s">
        <v>84</v>
      </c>
      <c r="D193" s="128">
        <f>D187-D192</f>
        <v>0</v>
      </c>
    </row>
    <row r="195" spans="1:16" x14ac:dyDescent="0.25">
      <c r="A195" s="44"/>
      <c r="B195" s="6"/>
      <c r="C195" s="6"/>
      <c r="D195" s="6"/>
      <c r="E195" s="6"/>
      <c r="F195" s="6"/>
      <c r="G195" s="6"/>
      <c r="H195" s="6"/>
      <c r="I195" s="6"/>
      <c r="J195" s="6"/>
      <c r="K195" s="6"/>
      <c r="L195" s="6"/>
      <c r="M195" s="6"/>
      <c r="N195" s="6"/>
      <c r="O195" s="6"/>
      <c r="P195" s="6"/>
    </row>
    <row r="196" spans="1:16" x14ac:dyDescent="0.25">
      <c r="A196" s="46" t="s">
        <v>79</v>
      </c>
    </row>
    <row r="197" spans="1:16" x14ac:dyDescent="0.25">
      <c r="A197" s="264"/>
      <c r="B197" s="265"/>
      <c r="C197" s="265"/>
      <c r="D197" s="265"/>
      <c r="E197" s="265"/>
      <c r="F197" s="265"/>
      <c r="G197" s="265"/>
      <c r="H197" s="265"/>
      <c r="I197" s="266"/>
      <c r="J197" s="167"/>
    </row>
    <row r="198" spans="1:16" x14ac:dyDescent="0.25">
      <c r="A198" s="267"/>
      <c r="B198" s="268"/>
      <c r="C198" s="268"/>
      <c r="D198" s="268"/>
      <c r="E198" s="268"/>
      <c r="F198" s="268"/>
      <c r="G198" s="268"/>
      <c r="H198" s="268"/>
      <c r="I198" s="269"/>
    </row>
    <row r="199" spans="1:16" x14ac:dyDescent="0.25">
      <c r="A199" s="267"/>
      <c r="B199" s="268"/>
      <c r="C199" s="268"/>
      <c r="D199" s="268"/>
      <c r="E199" s="268"/>
      <c r="F199" s="268"/>
      <c r="G199" s="268"/>
      <c r="H199" s="268"/>
      <c r="I199" s="269"/>
    </row>
    <row r="200" spans="1:16" x14ac:dyDescent="0.25">
      <c r="A200" s="270"/>
      <c r="B200" s="271"/>
      <c r="C200" s="271"/>
      <c r="D200" s="271"/>
      <c r="E200" s="271"/>
      <c r="F200" s="271"/>
      <c r="G200" s="271"/>
      <c r="H200" s="271"/>
      <c r="I200" s="272"/>
    </row>
  </sheetData>
  <mergeCells count="13">
    <mergeCell ref="A10:F10"/>
    <mergeCell ref="A39:H39"/>
    <mergeCell ref="A40:H43"/>
    <mergeCell ref="A197:I200"/>
    <mergeCell ref="K166:P166"/>
    <mergeCell ref="K167:P167"/>
    <mergeCell ref="K59:P59"/>
    <mergeCell ref="K60:P60"/>
    <mergeCell ref="K121:P121"/>
    <mergeCell ref="K120:P120"/>
    <mergeCell ref="F180:I180"/>
    <mergeCell ref="F146:I146"/>
    <mergeCell ref="F138:I138"/>
  </mergeCells>
  <phoneticPr fontId="10" type="noConversion"/>
  <dataValidations disablePrompts="1" count="9">
    <dataValidation type="list" allowBlank="1" showInputMessage="1" showErrorMessage="1" sqref="D21" xr:uid="{0F3844CE-B8CF-41FC-B98A-95A9C469CEBC}">
      <formula1>"(Välj),Inköpta,Egenproducerade,I huvudsak inköpta,I huvudsak egenproducerade"</formula1>
    </dataValidation>
    <dataValidation type="list" allowBlank="1" showInputMessage="1" showErrorMessage="1" sqref="D19" xr:uid="{BDE2C6AB-C5A3-4B6D-8F30-5B8435A16D23}">
      <formula1>"(Välj),Ditionit,Väteperoxid,Kombination,Oblekt"</formula1>
    </dataValidation>
    <dataValidation type="list" allowBlank="1" showInputMessage="1" showErrorMessage="1" sqref="D26:D27" xr:uid="{E7B035C9-3CF0-4837-B1D3-270AB8CC0CD8}">
      <formula1>"(Välj),Förpackningskartong,Förpackningspapper,Wellpappmaterial,Tryckpapper,Tidningspapper,Mjukpapper,Övrigt (ange i kommentarsfältet)"</formula1>
    </dataValidation>
    <dataValidation type="list" allowBlank="1" showInputMessage="1" showErrorMessage="1" sqref="G37:G38" xr:uid="{8172146C-71AA-4700-ACB2-BE217A196FBA}">
      <formula1>"(Välj),TJ,ton,m3,Nm3,Annan enhet (ange i kommentarsfältet)"</formula1>
    </dataValidation>
    <dataValidation type="list" allowBlank="1" showInputMessage="1" showErrorMessage="1" sqref="D16:D17" xr:uid="{267B0D4C-F5E6-41C1-875C-3178DD7DB144}">
      <formula1>"(Välj),Löv - rundved,Löv - flis,Barr - rundved,Barr - flis"</formula1>
    </dataValidation>
    <dataValidation type="list" allowBlank="1" showInputMessage="1" showErrorMessage="1" sqref="D29:D30" xr:uid="{A9F1AF51-5129-4CA2-A6B8-D8B76F029C8A}">
      <formula1>"(Välj),Fyllmedel,Bestrykning"</formula1>
    </dataValidation>
    <dataValidation type="list" allowBlank="1" showInputMessage="1" showErrorMessage="1" sqref="D37" xr:uid="{5677FB05-A71A-4716-A49D-8A670498B2C5}">
      <formula1>"(Välj),Biogas,Annan (ange i kommentarsfältet),Ingen"</formula1>
    </dataValidation>
    <dataValidation type="list" allowBlank="1" showInputMessage="1" showErrorMessage="1" sqref="D32" xr:uid="{F9D50AD8-6BB8-4738-96FD-CFCF8C76883A}">
      <formula1>"(Välj),Kondens,Mottryck"</formula1>
    </dataValidation>
    <dataValidation type="list" allowBlank="1" showInputMessage="1" showErrorMessage="1" sqref="D14" xr:uid="{4919E47B-0B0A-417F-9352-9F20E6954DE6}">
      <formula1>"Välj,TMP,CTMP,Slip"</formula1>
    </dataValidation>
  </dataValidation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B38E85BEABC8BF4A88BAA15576A594EF" ma:contentTypeVersion="12" ma:contentTypeDescription="Skapa ett nytt dokument." ma:contentTypeScope="" ma:versionID="bc2538bbe8318f140d8b1bd6b3a90589">
  <xsd:schema xmlns:xsd="http://www.w3.org/2001/XMLSchema" xmlns:xs="http://www.w3.org/2001/XMLSchema" xmlns:p="http://schemas.microsoft.com/office/2006/metadata/properties" xmlns:ns2="87176224-dba4-4793-8e6c-0b313d1fcffc" xmlns:ns3="6908d875-be25-46f5-8ff1-77147f2ebbf4" targetNamespace="http://schemas.microsoft.com/office/2006/metadata/properties" ma:root="true" ma:fieldsID="341c7f7a9d4cea629ec65b0da70cdd53" ns2:_="" ns3:_="">
    <xsd:import namespace="87176224-dba4-4793-8e6c-0b313d1fcffc"/>
    <xsd:import namespace="6908d875-be25-46f5-8ff1-77147f2ebbf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176224-dba4-4793-8e6c-0b313d1fcf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ildmarkeringar" ma:readOnly="false" ma:fieldId="{5cf76f15-5ced-4ddc-b409-7134ff3c332f}" ma:taxonomyMulti="true" ma:sspId="f715b3c1-6faf-452c-928b-c1f971cfea5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908d875-be25-46f5-8ff1-77147f2ebbf4"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01df2ae-357a-4d91-bc9f-45c78ad4c008}" ma:internalName="TaxCatchAll" ma:showField="CatchAllData" ma:web="6908d875-be25-46f5-8ff1-77147f2ebb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908d875-be25-46f5-8ff1-77147f2ebbf4" xsi:nil="true"/>
    <lcf76f155ced4ddcb4097134ff3c332f xmlns="87176224-dba4-4793-8e6c-0b313d1fcff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0352D96-B995-4E98-A4F4-10A3F690BA2D}">
  <ds:schemaRefs>
    <ds:schemaRef ds:uri="http://schemas.microsoft.com/sharepoint/v3/contenttype/forms"/>
  </ds:schemaRefs>
</ds:datastoreItem>
</file>

<file path=customXml/itemProps2.xml><?xml version="1.0" encoding="utf-8"?>
<ds:datastoreItem xmlns:ds="http://schemas.openxmlformats.org/officeDocument/2006/customXml" ds:itemID="{CAF213F1-30C7-4F27-BA43-F9EB8717B784}"/>
</file>

<file path=customXml/itemProps3.xml><?xml version="1.0" encoding="utf-8"?>
<ds:datastoreItem xmlns:ds="http://schemas.openxmlformats.org/officeDocument/2006/customXml" ds:itemID="{795E4305-D47B-4DA9-A1B4-1B9416654574}">
  <ds:schemaRefs>
    <ds:schemaRef ds:uri="http://schemas.microsoft.com/office/2006/documentManagement/types"/>
    <ds:schemaRef ds:uri="c5c7cef5-72b0-4130-9324-a6e7454301c2"/>
    <ds:schemaRef ds:uri="http://schemas.microsoft.com/office/infopath/2007/PartnerControls"/>
    <ds:schemaRef ds:uri="http://purl.org/dc/elements/1.1/"/>
    <ds:schemaRef ds:uri="http://schemas.microsoft.com/office/2006/metadata/properties"/>
    <ds:schemaRef ds:uri="http://schemas.microsoft.com/sharepoint/v3"/>
    <ds:schemaRef ds:uri="http://schemas.openxmlformats.org/package/2006/metadata/core-properties"/>
    <ds:schemaRef ds:uri="http://purl.org/dc/terms/"/>
    <ds:schemaRef ds:uri="f51bab5f-0ed0-40a8-8f36-6fe936a6434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Mek+Papper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Hanna</dc:creator>
  <cp:lastModifiedBy>Elin  Svensson</cp:lastModifiedBy>
  <dcterms:created xsi:type="dcterms:W3CDTF">2018-09-17T06:42:26Z</dcterms:created>
  <dcterms:modified xsi:type="dcterms:W3CDTF">2025-07-08T06:34:17Z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0x010100B38E85BEABC8BF4A88BAA15576A594EF</vt:lpwstr>
  </property>
  <property fmtid="{D5CDD505-2E9C-101B-9397-08002B2CF9AE}" pid="3" name="MediaServiceImageTags">
    <vt:lpwstr/>
  </property>
</Properties>
</file>