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20" documentId="8_{F1F75633-F611-4477-8C57-0F6CC792561F}" xr6:coauthVersionLast="47" xr6:coauthVersionMax="47" xr10:uidLastSave="{F348CA3A-8264-4B22-94B2-D38646679C48}"/>
  <bookViews>
    <workbookView xWindow="-120" yWindow="-120" windowWidth="29040" windowHeight="15720" xr2:uid="{81CFD70E-8034-4963-A311-A79E2EEFE8E7}"/>
  </bookViews>
  <sheets>
    <sheet name="Sulfat+Pappe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5" i="2" l="1"/>
  <c r="N65" i="2"/>
  <c r="P175" i="2"/>
  <c r="N175" i="2"/>
  <c r="P70" i="2"/>
  <c r="P67" i="2"/>
  <c r="P68" i="2" s="1"/>
  <c r="N70" i="2"/>
  <c r="N68" i="2"/>
  <c r="N67" i="2"/>
  <c r="N174" i="2"/>
  <c r="P174" i="2"/>
  <c r="P173" i="2"/>
  <c r="N173" i="2"/>
  <c r="N126" i="2"/>
  <c r="P71" i="2"/>
  <c r="N71" i="2"/>
  <c r="N87" i="2"/>
  <c r="D92" i="2"/>
  <c r="D66" i="2"/>
  <c r="D100" i="2"/>
  <c r="D96" i="2"/>
  <c r="D138" i="2" l="1"/>
  <c r="I123" i="2" l="1"/>
  <c r="D161" i="2" l="1"/>
  <c r="D156" i="2" l="1"/>
  <c r="I143" i="2"/>
  <c r="I187" i="2"/>
  <c r="P176" i="2" s="1"/>
  <c r="I186" i="2"/>
  <c r="I185" i="2"/>
  <c r="I184" i="2"/>
  <c r="D162" i="2" l="1"/>
  <c r="P172" i="2"/>
  <c r="I146" i="2"/>
  <c r="P129" i="2" s="1"/>
  <c r="I145" i="2"/>
  <c r="I144" i="2"/>
  <c r="P126" i="2" s="1"/>
  <c r="I94" i="2"/>
  <c r="D137" i="2"/>
  <c r="D135" i="2"/>
  <c r="D134" i="2"/>
  <c r="P128" i="2" l="1"/>
  <c r="P127" i="2"/>
  <c r="P125" i="2"/>
  <c r="D178" i="2" l="1"/>
  <c r="D145" i="2"/>
  <c r="I142" i="2" s="1"/>
  <c r="D132" i="2"/>
  <c r="I126" i="2" s="1"/>
  <c r="D124" i="2"/>
  <c r="D125" i="2" s="1"/>
  <c r="D149" i="2"/>
  <c r="I150" i="2" l="1"/>
  <c r="I151" i="2" s="1"/>
  <c r="I152" i="2" s="1"/>
  <c r="I153" i="2" l="1"/>
  <c r="D184" i="2"/>
  <c r="D71" i="2" l="1"/>
  <c r="D169" i="2"/>
  <c r="D168" i="2"/>
  <c r="D74" i="2" l="1"/>
  <c r="D170" i="2"/>
  <c r="D173" i="2" s="1"/>
  <c r="D175" i="2" l="1"/>
  <c r="D172" i="2"/>
  <c r="D150" i="2"/>
  <c r="D176" i="2" l="1"/>
  <c r="D105" i="2"/>
  <c r="D108" i="2" s="1"/>
  <c r="D56" i="2" l="1"/>
  <c r="D188" i="2" l="1"/>
  <c r="I154" i="2" l="1"/>
  <c r="P124" i="2"/>
  <c r="N124" i="2"/>
  <c r="D194" i="2"/>
  <c r="D179" i="2" l="1"/>
  <c r="D187" i="2"/>
  <c r="D189" i="2" l="1"/>
  <c r="D180" i="2"/>
  <c r="I183" i="2" l="1"/>
  <c r="P171" i="2" s="1"/>
  <c r="D185" i="2"/>
  <c r="D195" i="2"/>
  <c r="D109" i="2" l="1"/>
  <c r="I97" i="2" s="1"/>
  <c r="I102" i="2" s="1"/>
  <c r="I106" i="2" s="1"/>
  <c r="I113" i="2" s="1"/>
  <c r="N89" i="2" s="1"/>
  <c r="I107" i="2" l="1"/>
  <c r="I105" i="2"/>
  <c r="I108" i="2"/>
  <c r="I115" i="2" s="1"/>
  <c r="N91" i="2" s="1"/>
  <c r="I68" i="2" l="1"/>
  <c r="I112" i="2"/>
  <c r="I109" i="2"/>
  <c r="I114" i="2"/>
  <c r="I70" i="2"/>
  <c r="I69" i="2" l="1"/>
  <c r="N92" i="2"/>
  <c r="I129" i="2"/>
  <c r="I135" i="2" s="1"/>
  <c r="N90" i="2"/>
  <c r="I67" i="2"/>
  <c r="N88" i="2"/>
  <c r="D75" i="2" l="1"/>
  <c r="D76" i="2" l="1"/>
  <c r="I130" i="2"/>
  <c r="I136" i="2" s="1"/>
  <c r="D81" i="2" l="1"/>
  <c r="I61" i="2" s="1"/>
  <c r="P66" i="2" s="1"/>
  <c r="I132" i="2"/>
  <c r="I138" i="2" s="1"/>
  <c r="N129" i="2" s="1"/>
  <c r="I131" i="2"/>
  <c r="I137" i="2" s="1"/>
  <c r="I167" i="2"/>
  <c r="N171" i="2" l="1"/>
  <c r="I63" i="2"/>
  <c r="I75" i="2" s="1"/>
  <c r="I64" i="2"/>
  <c r="P69" i="2" s="1"/>
  <c r="I62" i="2"/>
  <c r="I73" i="2"/>
  <c r="N128" i="2"/>
  <c r="N125" i="2"/>
  <c r="N127" i="2"/>
  <c r="I171" i="2"/>
  <c r="I177" i="2" s="1"/>
  <c r="I173" i="2"/>
  <c r="I179" i="2" s="1"/>
  <c r="N176" i="2" s="1"/>
  <c r="I170" i="2"/>
  <c r="I176" i="2" s="1"/>
  <c r="I172" i="2"/>
  <c r="I178" i="2" s="1"/>
  <c r="I74" i="2" l="1"/>
  <c r="I76" i="2"/>
  <c r="N69" i="2" s="1"/>
  <c r="N66" i="2"/>
  <c r="N17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86" authorId="0" shapeId="0" xr:uid="{7121A5F4-519E-415E-A9FB-2F855D90ADC6}">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87" authorId="0" shapeId="0" xr:uid="{6831FE37-3B42-401B-A6C8-BC692E545B2A}">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List>
</comments>
</file>

<file path=xl/sharedStrings.xml><?xml version="1.0" encoding="utf-8"?>
<sst xmlns="http://schemas.openxmlformats.org/spreadsheetml/2006/main" count="819" uniqueCount="594">
  <si>
    <t>NAMN PÅ BRUK:</t>
  </si>
  <si>
    <t>PRODUKTION</t>
  </si>
  <si>
    <t>ELFÖRBRUKNING</t>
  </si>
  <si>
    <t>el ink</t>
  </si>
  <si>
    <t>el inköpt</t>
  </si>
  <si>
    <t>el såld</t>
  </si>
  <si>
    <t>el såld till elnätet</t>
  </si>
  <si>
    <t>VÄRMEFÖRBRUKNING</t>
  </si>
  <si>
    <t>q turb</t>
  </si>
  <si>
    <t>q dir</t>
  </si>
  <si>
    <t>q gp</t>
  </si>
  <si>
    <t>ånga producerad i starkgaspanna</t>
  </si>
  <si>
    <t>q elp</t>
  </si>
  <si>
    <t>ånga producerad i elpanna</t>
  </si>
  <si>
    <t>q ink</t>
  </si>
  <si>
    <t>ånga  som köps in från extern leverantör</t>
  </si>
  <si>
    <t>br såld bark</t>
  </si>
  <si>
    <t>el br</t>
  </si>
  <si>
    <t>fossilt drivmedel (interna transporter), t.ex. bensin och diesel</t>
  </si>
  <si>
    <t>br driv fos</t>
  </si>
  <si>
    <t>br driv bio</t>
  </si>
  <si>
    <t>el gem</t>
  </si>
  <si>
    <t>q gem</t>
  </si>
  <si>
    <t>bränsle som används för att producera direktvärme för torkning av massa, t.ex. direkteldade flingtorkar</t>
  </si>
  <si>
    <t>el använd för värmeproduktion fördelad på torkning av avsalumassa</t>
  </si>
  <si>
    <t>fossilt bränsle som används för att producera värme i form av ånga eller hetvatten förderlad på produktionen av pumpmassa</t>
  </si>
  <si>
    <t>fossilt bränsle som används för att producera värme i form av ånga eller hetvatten fördelad på torkningen av massan</t>
  </si>
  <si>
    <t>Q tot brutto</t>
  </si>
  <si>
    <t>Q tot netto</t>
  </si>
  <si>
    <t>elförbrukning för produktion av värme i elpannor och el till övrig panndrift (användning av el som ”bränsle”)</t>
  </si>
  <si>
    <t>ADt</t>
  </si>
  <si>
    <t>TJ</t>
  </si>
  <si>
    <t>E1</t>
  </si>
  <si>
    <t>E2</t>
  </si>
  <si>
    <t>Q1</t>
  </si>
  <si>
    <t>Q2</t>
  </si>
  <si>
    <t>Q4</t>
  </si>
  <si>
    <t>Q3</t>
  </si>
  <si>
    <t>Gult med svart text = Beräknade data</t>
  </si>
  <si>
    <t>E3</t>
  </si>
  <si>
    <t>Orange = Kontroll</t>
  </si>
  <si>
    <t>Benämning</t>
  </si>
  <si>
    <t>Förklaring</t>
  </si>
  <si>
    <t>E4</t>
  </si>
  <si>
    <t>E5</t>
  </si>
  <si>
    <t>E6</t>
  </si>
  <si>
    <t>E7</t>
  </si>
  <si>
    <t>E8</t>
  </si>
  <si>
    <t>E9</t>
  </si>
  <si>
    <t>E10</t>
  </si>
  <si>
    <t>E11</t>
  </si>
  <si>
    <t>E12</t>
  </si>
  <si>
    <t>Blå = Beräknade nyckeltal</t>
  </si>
  <si>
    <t>BRÄNSLEFÖRBRUKNING FOSSIL</t>
  </si>
  <si>
    <t>Q6</t>
  </si>
  <si>
    <t>Q7</t>
  </si>
  <si>
    <t>Q5</t>
  </si>
  <si>
    <t>M1</t>
  </si>
  <si>
    <t>Q8</t>
  </si>
  <si>
    <t>Q9</t>
  </si>
  <si>
    <t>Q10</t>
  </si>
  <si>
    <t>Q11</t>
  </si>
  <si>
    <t>B1</t>
  </si>
  <si>
    <t>B2</t>
  </si>
  <si>
    <t>Förbrukning av värme för produktion av pumpmassa</t>
  </si>
  <si>
    <t>Förbrukning av värme för torkning av avsalumassa</t>
  </si>
  <si>
    <t>B6</t>
  </si>
  <si>
    <t>B7</t>
  </si>
  <si>
    <t>B9</t>
  </si>
  <si>
    <t>NYCKELTAL</t>
  </si>
  <si>
    <t>B11</t>
  </si>
  <si>
    <t>B10</t>
  </si>
  <si>
    <t>F3</t>
  </si>
  <si>
    <t>F4</t>
  </si>
  <si>
    <t>F5</t>
  </si>
  <si>
    <t>F6</t>
  </si>
  <si>
    <t>F7</t>
  </si>
  <si>
    <t>F8</t>
  </si>
  <si>
    <t>Fossilt bränsle för produktion av pumpmassa</t>
  </si>
  <si>
    <t>Fossilt bränsle för torkning av avsalumassa</t>
  </si>
  <si>
    <t>F9</t>
  </si>
  <si>
    <t>F10</t>
  </si>
  <si>
    <t>Kommentarer och noteringar</t>
  </si>
  <si>
    <t>q vtn</t>
  </si>
  <si>
    <t>Q12</t>
  </si>
  <si>
    <t>q prod</t>
  </si>
  <si>
    <t>Q13</t>
  </si>
  <si>
    <t>fossil eldningsolja</t>
  </si>
  <si>
    <t>Kontroll (ska vara noll)</t>
  </si>
  <si>
    <t>B12</t>
  </si>
  <si>
    <t>B13</t>
  </si>
  <si>
    <t>B14</t>
  </si>
  <si>
    <t>B15</t>
  </si>
  <si>
    <t>Fossilt bränsle som används för produktion av ånga och varmvatten</t>
  </si>
  <si>
    <t>fossilt bränsle som används för att producera direktvärme vid produktion av pumpmassa</t>
  </si>
  <si>
    <t>bränsle som används för att producera direktvärme vid produktion av pumpmassa, t.ex. bränsle till mesaugnen</t>
  </si>
  <si>
    <t>fossilt bränsle som används för att producera direktvärme vid torkning av avsalumassa, t.ex. i direkteldade flingtorkar</t>
  </si>
  <si>
    <t>F2</t>
  </si>
  <si>
    <t>fossilt drivmedel och övrigt fossilt bränsle som används i verksamhet som kan hänföras till produktion av pumpmassa, t.ex. truckar på vedgården</t>
  </si>
  <si>
    <t>Bränsle för produktion av pumpmassa</t>
  </si>
  <si>
    <t>Bränsle för torkning av avsalumassa</t>
  </si>
  <si>
    <t>F11</t>
  </si>
  <si>
    <t>F12</t>
  </si>
  <si>
    <t>F13</t>
  </si>
  <si>
    <t>Ekvation</t>
  </si>
  <si>
    <t>summa egenproducerad värme</t>
  </si>
  <si>
    <t>F1</t>
  </si>
  <si>
    <t>INTEGRERAT SULFATMASSA- OCH PAPPERSBRUK</t>
  </si>
  <si>
    <t>Ma pump</t>
  </si>
  <si>
    <t>egen produktion av pumpmassa (inkl avsalumassa)</t>
  </si>
  <si>
    <t>M2</t>
  </si>
  <si>
    <t>Ma avsalu</t>
  </si>
  <si>
    <t>Ma ink</t>
  </si>
  <si>
    <t>M3</t>
  </si>
  <si>
    <t>inköpt massa</t>
  </si>
  <si>
    <t>P1</t>
  </si>
  <si>
    <t>Pa tot</t>
  </si>
  <si>
    <t>Slutprod</t>
  </si>
  <si>
    <t>MP1</t>
  </si>
  <si>
    <t>summa slutprodukter massa och papper</t>
  </si>
  <si>
    <t>el pa uppm</t>
  </si>
  <si>
    <t>el pa gem</t>
  </si>
  <si>
    <t>el använd för värmeproduktion fördelad på produktion av pumpmassa</t>
  </si>
  <si>
    <t>el pa br</t>
  </si>
  <si>
    <t>el använd för värmeproduktion fördelad på själva pappersproduktionen</t>
  </si>
  <si>
    <t>E13</t>
  </si>
  <si>
    <t>E14</t>
  </si>
  <si>
    <t>E15</t>
  </si>
  <si>
    <t>E16</t>
  </si>
  <si>
    <t>El pa</t>
  </si>
  <si>
    <t>E17</t>
  </si>
  <si>
    <t>E18</t>
  </si>
  <si>
    <t>E19</t>
  </si>
  <si>
    <t>E20</t>
  </si>
  <si>
    <t>E21</t>
  </si>
  <si>
    <t>q pa uppm</t>
  </si>
  <si>
    <t>q pa gem</t>
  </si>
  <si>
    <t>Q14</t>
  </si>
  <si>
    <t>Q pa</t>
  </si>
  <si>
    <t>Förbrukning av värme för produktion av papper från pumpmassa</t>
  </si>
  <si>
    <t>Q15</t>
  </si>
  <si>
    <t>Q16</t>
  </si>
  <si>
    <t>Q17</t>
  </si>
  <si>
    <t>Q18</t>
  </si>
  <si>
    <t>Q19</t>
  </si>
  <si>
    <t>br pa dir</t>
  </si>
  <si>
    <t>br pa övr</t>
  </si>
  <si>
    <t>B3</t>
  </si>
  <si>
    <t>B4</t>
  </si>
  <si>
    <t>B5</t>
  </si>
  <si>
    <t>B8</t>
  </si>
  <si>
    <t>Br pa</t>
  </si>
  <si>
    <t>Bränsle för själva pappersproduktionen</t>
  </si>
  <si>
    <t>bränsle som används för att producera direktvärme för själva pappersproduktionen</t>
  </si>
  <si>
    <t>B16</t>
  </si>
  <si>
    <t>B17</t>
  </si>
  <si>
    <t>B18</t>
  </si>
  <si>
    <t>B19</t>
  </si>
  <si>
    <t>fossilt bränsle som används för själva pappersproduktionen</t>
  </si>
  <si>
    <t>fossilt drivmedel och övrigt fossilt bränsle som används i verksamhet som kan hänföras till torkningen av massa och efterföljande steg, t.ex. truckar som hanterar torkad massa</t>
  </si>
  <si>
    <t>fossilt bränsle som används för att producera värme i form av ånga eller hetvatten fördelad på själva pappersproduktionen</t>
  </si>
  <si>
    <t>F14</t>
  </si>
  <si>
    <t>F15</t>
  </si>
  <si>
    <t>Fossilt bränsle för själva pappersproduktionen</t>
  </si>
  <si>
    <t>Br pa fos</t>
  </si>
  <si>
    <t>F16</t>
  </si>
  <si>
    <t>F17</t>
  </si>
  <si>
    <t>F18</t>
  </si>
  <si>
    <t>F19</t>
  </si>
  <si>
    <t>F20</t>
  </si>
  <si>
    <t>E22</t>
  </si>
  <si>
    <t>Självförsörjningsgrad el</t>
  </si>
  <si>
    <t>q gem rest</t>
  </si>
  <si>
    <t>Q20</t>
  </si>
  <si>
    <t>q prim ext</t>
  </si>
  <si>
    <t>br pump dir</t>
  </si>
  <si>
    <t>br tork dir</t>
  </si>
  <si>
    <t>br pump övr</t>
  </si>
  <si>
    <t>br tork övr</t>
  </si>
  <si>
    <t>drivmedel och annat bränsle som används i verksamhet som kan hänföras till torkning av massa och efterföljande steg, t.ex. truckar för hantering av färdig produkt</t>
  </si>
  <si>
    <t>Kontroll, ska vara 0 (noll)</t>
  </si>
  <si>
    <t>drivmedel och annat bränsle som används i verksamhet som kan hänföras till produktion av pumpmassa, t.ex. truckar på vedgården</t>
  </si>
  <si>
    <t>drivmedel och annat bränsle som används i verksamhet som kan hänföras till själva pappersproduktionen, t.ex. truckar för hantering av färdig produkt</t>
  </si>
  <si>
    <t>Q pump</t>
  </si>
  <si>
    <t>Q tork</t>
  </si>
  <si>
    <t>q pump gem</t>
  </si>
  <si>
    <t>q tork gem</t>
  </si>
  <si>
    <t>B20</t>
  </si>
  <si>
    <t>B21</t>
  </si>
  <si>
    <t>B22</t>
  </si>
  <si>
    <t>B23</t>
  </si>
  <si>
    <t>Br pump</t>
  </si>
  <si>
    <t>Br tork</t>
  </si>
  <si>
    <t>B24</t>
  </si>
  <si>
    <t>B25</t>
  </si>
  <si>
    <t>B26</t>
  </si>
  <si>
    <t>F21</t>
  </si>
  <si>
    <t>el pump uppm</t>
  </si>
  <si>
    <t>el tork uppm</t>
  </si>
  <si>
    <t>hetvatten som produceras i egen panna (t.ex. oljepanna eller elpanna)  och kondensat från kondensturbin som används i processen</t>
  </si>
  <si>
    <t>Br dir inre</t>
  </si>
  <si>
    <t>Br dir yttre</t>
  </si>
  <si>
    <t>el använd för värmeproduktion fördelad på uppslagning av inköpt massa</t>
  </si>
  <si>
    <t>Förbrukning av värme för uppslagning av inköpt massa</t>
  </si>
  <si>
    <t>SKOGENS SULFATMASSA- OCH PAPPERSBRUK</t>
  </si>
  <si>
    <t>ton</t>
  </si>
  <si>
    <t>ADt + ton</t>
  </si>
  <si>
    <t>el uppsl uppm</t>
  </si>
  <si>
    <t>el pump gem</t>
  </si>
  <si>
    <t>el tork gem</t>
  </si>
  <si>
    <t>el uppsl gem</t>
  </si>
  <si>
    <t>q uppsl uppm</t>
  </si>
  <si>
    <t>q pump uppm</t>
  </si>
  <si>
    <t>q tork uppm</t>
  </si>
  <si>
    <t>q uppsl gem</t>
  </si>
  <si>
    <t>BRÄNSLEFÖRBRUKNING TOTALT</t>
  </si>
  <si>
    <t>drivmedel och annat bränsle som används i verksamhet som kan hänföras till uppslagning av inköpt massa</t>
  </si>
  <si>
    <t>Br övr</t>
  </si>
  <si>
    <t>br uppsl övr</t>
  </si>
  <si>
    <t>br pump dir fos</t>
  </si>
  <si>
    <t>br tork dir fos</t>
  </si>
  <si>
    <t>br pa dir fos</t>
  </si>
  <si>
    <t>el gem förd pump</t>
  </si>
  <si>
    <t>el gem förd tork</t>
  </si>
  <si>
    <t>el gem förd uppsl</t>
  </si>
  <si>
    <t>q gem förd pump</t>
  </si>
  <si>
    <t>q gem förd tork</t>
  </si>
  <si>
    <t>q gem förd uppsl</t>
  </si>
  <si>
    <t>q gem förd pa</t>
  </si>
  <si>
    <t>el gem förd pa</t>
  </si>
  <si>
    <t>El uppsl</t>
  </si>
  <si>
    <t>El pump</t>
  </si>
  <si>
    <t>El tork</t>
  </si>
  <si>
    <t>Bränsle för uppslagning av inköpt massa</t>
  </si>
  <si>
    <t>fossilt bränsle som används för att producera värme i form av ånga eller hetvatten fördelad på uppslagning av inköpt massa</t>
  </si>
  <si>
    <t>Fossilt bränsle för uppslagning av inköpt massa</t>
  </si>
  <si>
    <t>q gem uppm</t>
  </si>
  <si>
    <t>summa  primärvärmeförbrukning uppmätt specifikt för de olika processavsnitten</t>
  </si>
  <si>
    <t>El tot tillf</t>
  </si>
  <si>
    <t>Total elförbrukning i massa- o pappersbruket beräknad från produktion och handel (tillförselsidan)</t>
  </si>
  <si>
    <t>summa elförbrukning som uppmätts specifikt för de olika processavsnitten</t>
  </si>
  <si>
    <t>el gem uppm</t>
  </si>
  <si>
    <t>uppmätt elförbrukning för gemensamma funktioner, dvs el som används för t.ex. vattenrening, kontor, underhållsverkstad och som inte används i elpannor för värmeproduktion</t>
  </si>
  <si>
    <t>el bal</t>
  </si>
  <si>
    <t>el gem rest</t>
  </si>
  <si>
    <t>resterande gemensam elförbrukning som inte tydligt kan fördelas till specifika processavsnitt</t>
  </si>
  <si>
    <t>el som förbrukas i gemensamma funktioner eller ingår i gemensam balanspost</t>
  </si>
  <si>
    <t>el pump br</t>
  </si>
  <si>
    <t>el tork br</t>
  </si>
  <si>
    <t>el uppsl br</t>
  </si>
  <si>
    <t>E23</t>
  </si>
  <si>
    <t>E24</t>
  </si>
  <si>
    <t>q sek ext</t>
  </si>
  <si>
    <t>q sek→pa</t>
  </si>
  <si>
    <t>q sek→tork</t>
  </si>
  <si>
    <t>q sek→pump</t>
  </si>
  <si>
    <t>q uppsl→sek</t>
  </si>
  <si>
    <t xml:space="preserve">q tork→sek </t>
  </si>
  <si>
    <t>q pump→sek</t>
  </si>
  <si>
    <t>q pa→sek</t>
  </si>
  <si>
    <t>sekundärvärme som används för torkning av avsalumassa</t>
  </si>
  <si>
    <t>sekundärvärme som används för uppslagning av inköpt massa</t>
  </si>
  <si>
    <t>sekundärvärme som används för själva pappersproduktionen </t>
  </si>
  <si>
    <t>värme som förbrukas i gemensamma funktioner eller ingår i gemensamma balansposter</t>
  </si>
  <si>
    <t>q sek→uppsl</t>
  </si>
  <si>
    <t>q prim bal</t>
  </si>
  <si>
    <t>q sek bal</t>
  </si>
  <si>
    <t>Q21</t>
  </si>
  <si>
    <t>η ext</t>
  </si>
  <si>
    <t>Br tot yttre</t>
  </si>
  <si>
    <r>
      <t xml:space="preserve">Summa drivmedel och övrigt bränsle </t>
    </r>
    <r>
      <rPr>
        <sz val="11"/>
        <color theme="1"/>
        <rFont val="Calibri"/>
        <family val="2"/>
        <scheme val="minor"/>
      </rPr>
      <t>(beräknad från bränsleslag)</t>
    </r>
  </si>
  <si>
    <r>
      <t xml:space="preserve">Summa drivmedel och övrigt bränsle </t>
    </r>
    <r>
      <rPr>
        <sz val="11"/>
        <color theme="1"/>
        <rFont val="Calibri"/>
        <family val="2"/>
        <scheme val="minor"/>
      </rPr>
      <t>(beräknad från ändamål)</t>
    </r>
  </si>
  <si>
    <t>Summa förbrukning av bränslen, inre systemgräns</t>
  </si>
  <si>
    <t>Summa förbrukning av bränslen, yttre systemgräns</t>
  </si>
  <si>
    <t>br eo fos dir</t>
  </si>
  <si>
    <t>br gas fos dir</t>
  </si>
  <si>
    <t>såld bark och annat fast biobränsle som uppkommit i vedhantering och renseri</t>
  </si>
  <si>
    <t>Kontroll balans direktvärme (ska vara noll)</t>
  </si>
  <si>
    <t>x bio eget</t>
  </si>
  <si>
    <t>Fossilt bränsle som används för direktvärme</t>
  </si>
  <si>
    <t>br pump övr fos</t>
  </si>
  <si>
    <t>br tork övr fos</t>
  </si>
  <si>
    <t>br pa övr fos</t>
  </si>
  <si>
    <t>fossilt drivmedel och övrigt bränsle som används i verksamhet som kan hänföras till uppslagning av inköpt massa, t ex truckar för mottagning av inköpt massa</t>
  </si>
  <si>
    <t>fossilt drivmedel och övrigt bränsle som används i verksamhet som kan hänföras till själva pappersproduktionen, t ex truckar för utlastning av färdig produkt</t>
  </si>
  <si>
    <t>Br dir fos</t>
  </si>
  <si>
    <t>Summa fossilt bränsle direktvärme (beräknat från bränsleslag)</t>
  </si>
  <si>
    <t>Summa fossilt bränsle direktvärme (beräknat från ändamål)</t>
  </si>
  <si>
    <t>Summa  övrigt fossilt bränsle (beräknat från bränsleslag)</t>
  </si>
  <si>
    <t>Summa  övrigt fossilt bränsle (beräknat från ändamål)</t>
  </si>
  <si>
    <t>Br övr fos</t>
  </si>
  <si>
    <t>Br pump fos</t>
  </si>
  <si>
    <t>Br tork fos</t>
  </si>
  <si>
    <t>del av gemensam elförbrukning (inkl gemensam balanspost) som kan fördelas till produktion av pumpmassa baserat på rimliga antaganden och uppskattningar</t>
  </si>
  <si>
    <t>del av gemensam elförbrukning (inkl gemensam balanspost) som kan fördelas till torkning av pumpmassa baserat på rimliga antaganden och uppskattningar</t>
  </si>
  <si>
    <t>del av gemensam elförbrukning (inkl gemensam balanspost) som kan fördelas  till uppslagning av massa baserat på rimliga antaganden och uppskattningar</t>
  </si>
  <si>
    <t>Q tot uppm</t>
  </si>
  <si>
    <t>Q22</t>
  </si>
  <si>
    <t>el proc uppm</t>
  </si>
  <si>
    <t>q proc uppm</t>
  </si>
  <si>
    <t>total uppmätt primärvärmeförbrukning</t>
  </si>
  <si>
    <t>uppmätt elförbrukning för produktion av pumpmassa</t>
  </si>
  <si>
    <t>uppmätt elförbrukning för uppslagning av inköpt massa</t>
  </si>
  <si>
    <t>uppmätt elförbrukning för torkning av pumpmassa till avsalumassa och efterföljande hantering</t>
  </si>
  <si>
    <t>uppmätt elförbrukning för själva pappersproduktionen</t>
  </si>
  <si>
    <t>uppmätt förbrukning av primärvärme för produktion av pumpmassa</t>
  </si>
  <si>
    <t>uppmätt förbrukning av primärvärme för torkning av avsalumassa</t>
  </si>
  <si>
    <t>uppmätt förbrukning av primärvärme för uppslagning av inköpt massa</t>
  </si>
  <si>
    <t>uppmätt förbrukning av primärvärme för själva pappersproduktionen</t>
  </si>
  <si>
    <t>Förbrukning av el för produktion av pumpmassa</t>
  </si>
  <si>
    <t>Förbrukning av el för torkning av avsalumassa</t>
  </si>
  <si>
    <t>Förbrukning av el för uppslagning av inköpt massa</t>
  </si>
  <si>
    <t>Förbrukning av el för produktion av papper från pumpmassa</t>
  </si>
  <si>
    <t>resterande gemensam värmeförbrukning som inte tydligt kan fördelas till produktion av pumpmassa, torkning av massa, uppslagning av inköpt massa eller själva pappersproduktionen</t>
  </si>
  <si>
    <t>Rosa = Celler där data hämtas från annan cell</t>
  </si>
  <si>
    <t>Br panna inre netto</t>
  </si>
  <si>
    <t>br eo fos panna</t>
  </si>
  <si>
    <t>br gas fos panna</t>
  </si>
  <si>
    <t>Br panna inre brutto</t>
  </si>
  <si>
    <t>Br panna yttre netto</t>
  </si>
  <si>
    <t>Br panna yttre, brutto</t>
  </si>
  <si>
    <t>br pump panna</t>
  </si>
  <si>
    <t>br tork panna</t>
  </si>
  <si>
    <t>br uppsl panna</t>
  </si>
  <si>
    <t>br pa panna</t>
  </si>
  <si>
    <t>Summa bränsle för värmeproduktion i pannor, yttre systemgräns, brutto</t>
  </si>
  <si>
    <t>Summa bränsle värmeproduktion i pannor, yttre systemgräns, netto</t>
  </si>
  <si>
    <t>br pump panna fos</t>
  </si>
  <si>
    <t>br tork panna fos</t>
  </si>
  <si>
    <t>br pa panna fos</t>
  </si>
  <si>
    <t>Br panna brutto fos</t>
  </si>
  <si>
    <t>Br panna netto fos</t>
  </si>
  <si>
    <t>Summa bränsle för värmeproduktion i pannor, inre systemgräns, brutto</t>
  </si>
  <si>
    <t>Summa bränsle för värmeproduktion i pannor, inre systemgräns, netto</t>
  </si>
  <si>
    <t>Summa fossilt bränsle för värmeproduktion i pannor, brutto</t>
  </si>
  <si>
    <t>Summa fossilt bränsle  för värmeproduktion i pannor, netto</t>
  </si>
  <si>
    <t>Br uppsl</t>
  </si>
  <si>
    <t>br uppsl övr fos</t>
  </si>
  <si>
    <t>br uppsl panna fos</t>
  </si>
  <si>
    <t>Br uppsl fos</t>
  </si>
  <si>
    <t>Br tot fos</t>
  </si>
  <si>
    <t>Summa fossilt bränsle</t>
  </si>
  <si>
    <t>Energisystem</t>
  </si>
  <si>
    <t>Papper</t>
  </si>
  <si>
    <t>Kappatal</t>
  </si>
  <si>
    <t>Massa</t>
  </si>
  <si>
    <t>-</t>
  </si>
  <si>
    <t>Ange om använda blekkemikalier är inköpta eller egenproducerade</t>
  </si>
  <si>
    <t>Produktion av blekkemikalier</t>
  </si>
  <si>
    <t>Värde</t>
  </si>
  <si>
    <t>Område</t>
  </si>
  <si>
    <t>METADATA</t>
  </si>
  <si>
    <t>Ange kappatal i koket</t>
  </si>
  <si>
    <t>Typ av papper/kartong</t>
  </si>
  <si>
    <t>bar(a)</t>
  </si>
  <si>
    <t>Ångtryck</t>
  </si>
  <si>
    <t>Kommentar</t>
  </si>
  <si>
    <t>[Kommentera vilka processavsnitt som använder respektive ångtryck]</t>
  </si>
  <si>
    <t>Specialprodukter</t>
  </si>
  <si>
    <t>Produktion av specialprodukt</t>
  </si>
  <si>
    <t>Blekning</t>
  </si>
  <si>
    <t>Turbiner</t>
  </si>
  <si>
    <t>Grå = Indata, flerval</t>
  </si>
  <si>
    <r>
      <t xml:space="preserve">Lista de ångtryck som används i processen. 
</t>
    </r>
    <r>
      <rPr>
        <i/>
        <sz val="11"/>
        <color theme="1"/>
        <rFont val="Calibri"/>
        <family val="2"/>
        <scheme val="minor"/>
      </rPr>
      <t>[Infoga rader efter behov]</t>
    </r>
  </si>
  <si>
    <r>
      <t xml:space="preserve">Lista de specialprodukter som produceras vid bruket, och produktion av respektive typ
</t>
    </r>
    <r>
      <rPr>
        <i/>
        <sz val="11"/>
        <color theme="1"/>
        <rFont val="Calibri"/>
        <family val="2"/>
        <scheme val="minor"/>
      </rPr>
      <t>[Infoga rader efter behov]</t>
    </r>
  </si>
  <si>
    <r>
      <t xml:space="preserve">Ange vilken/vilka typ(er) av blekning som används, och massaproduktion av respektive typ
</t>
    </r>
    <r>
      <rPr>
        <i/>
        <sz val="11"/>
        <color theme="1"/>
        <rFont val="Calibri"/>
        <family val="2"/>
        <scheme val="minor"/>
      </rPr>
      <t>[Infoga rader efter behov (om flera typer av blekning)]</t>
    </r>
  </si>
  <si>
    <r>
      <t xml:space="preserve">Ange vilken/vilka typ(er) av papper/kartong som produceras, och produktion av respektive typ
</t>
    </r>
    <r>
      <rPr>
        <i/>
        <sz val="11"/>
        <color theme="1"/>
        <rFont val="Calibri"/>
        <family val="2"/>
        <scheme val="minor"/>
      </rPr>
      <t>[Infoga rader efter behov (om flera typer av papper/kartong)]</t>
    </r>
  </si>
  <si>
    <t>SKOGEBORG</t>
  </si>
  <si>
    <t>br annat bio</t>
  </si>
  <si>
    <t>bränsle för andra ändamål, bio</t>
  </si>
  <si>
    <t>bränsle för andra ändamål, fossilt</t>
  </si>
  <si>
    <t>br annat fos</t>
  </si>
  <si>
    <t>fossilt bränsle för andra ändamål</t>
  </si>
  <si>
    <t>Fossilt bränsle övrigt, använt som drivmedel eller för annat ändamål än värme eller direktvärme</t>
  </si>
  <si>
    <t>Bränsle övrigt, använt som drivmedel eller för annat ändamål än värme eller direktvärme</t>
  </si>
  <si>
    <t>Br tot inre netto</t>
  </si>
  <si>
    <t>br bio ink fast</t>
  </si>
  <si>
    <t>inköpt bark, skogsflis och andra fasta biobränslen</t>
  </si>
  <si>
    <t>inköpt beckolja och andra flytande biobränslen</t>
  </si>
  <si>
    <t>inköpt biogas</t>
  </si>
  <si>
    <t>Br bio fast inre</t>
  </si>
  <si>
    <t>bark eller annat fast biobränsle som används för värmeproduktion vid bruket (förbränns i pannor eller används för direktvärme)</t>
  </si>
  <si>
    <t>br fast bio panna</t>
  </si>
  <si>
    <t>br flyt bio panna</t>
  </si>
  <si>
    <t>br gas bio panna</t>
  </si>
  <si>
    <t>br fast bio dir</t>
  </si>
  <si>
    <t>br flyt bio dir</t>
  </si>
  <si>
    <t>br gas bio dir</t>
  </si>
  <si>
    <t>Bränsle som används för produktion av ånga och hetvatten i egna pannor</t>
  </si>
  <si>
    <t>andel av totalt använt fast biobränsle som uppkommit vid bruket</t>
  </si>
  <si>
    <t>Kontroll balans fast biobränsle (ska vara noll)</t>
  </si>
  <si>
    <t>Bränsle som används för direktvärme (tex i mesaugn)</t>
  </si>
  <si>
    <t>sekundärvärme som tillvaratas från produktionen av pumpmassa</t>
  </si>
  <si>
    <t xml:space="preserve">sekundärvärme som tillvaratas från torkningen av avsalumassa </t>
  </si>
  <si>
    <t xml:space="preserve">sekundärvärme som tillvaratas från uppslagningen av inköpt massa  </t>
  </si>
  <si>
    <t>sekundärvärme som tillvaratas från själva pappersproduktionen</t>
  </si>
  <si>
    <t>sekundärvärme som används för produktion av pumpmassa</t>
  </si>
  <si>
    <t>sekundärvärme från bruket som säljs till extern förbrukare</t>
  </si>
  <si>
    <t>q övrp</t>
  </si>
  <si>
    <t>uppmätt förbrukning av primärvärme för gemensamma funktioner (t.ex. värme för vattenrening, kontor, underhållsverkstad). Inkluderar all uppmätt primärvärmeförbrukning som ej direkt kan hänföras till någon specifik del av produktionen eller till friblåsning</t>
  </si>
  <si>
    <t xml:space="preserve">uppmätt friblåsning av ånga som därmed inte nyttiggörs i produktionen </t>
  </si>
  <si>
    <t>del av gemensam värmeförbrukning (inkl friblåsning och gemensam balanspost)  som kan fördelas till produktion av pumpmassa baserat på rimliga antaganden och uppskattningar</t>
  </si>
  <si>
    <t>del av gemensam värmeförbrukning (inkl friblåsning och gemensam balanspost)  som kan fördelas till torkning av avsalumassa baserat på rimliga antaganden och uppskattningar</t>
  </si>
  <si>
    <t>del av gemensam värmeförbrukning (inkl friblåsning och gemensam balanspost)  som kan fördelas till uppslagning av inköpt massa baserat på rimliga antaganden och uppskattningar</t>
  </si>
  <si>
    <t>del av gemensam värmeförbrukning (inkl friblåsning och gemensam balanspost)  som kan fördelas till själva pappersproduktionen baserat på rimliga antaganden och uppskattningar</t>
  </si>
  <si>
    <t>q fribl uppm</t>
  </si>
  <si>
    <t>gemensam värmeförbrukning som fördelats till, eller med utgångspunkt från andel av uppmätt förbrukning hänförts till torkning av pumpmassa till avsalumassa</t>
  </si>
  <si>
    <t>gemensam värmeförbrukning som fördelats till, eller med utgångspunkt från andel av uppmätt förbrukning hänförts till själva pappersproduktionen</t>
  </si>
  <si>
    <t>gemensam värmeförbrukning som fördelats till, eller med utgångspunkt från andel av uppmätt förbrukning hänförts till  uppslagning av inköpt massa</t>
  </si>
  <si>
    <t>gemensam elförbrukning som fördelats till, eller med utgångspunkt från andel av uppmätt förbrukning hänförts till produktion av pumpmassa</t>
  </si>
  <si>
    <t>gemensam elförbrukning som fördelats till, eller med utgångspunkt från andel av uppmätt förbrukning hänförts till torkning av pumpmassa till avsalumassa</t>
  </si>
  <si>
    <t>gemensam elförbrukning som fördelats till, eller med utgångspunkt från andel av uppmätt förbrukning hänförts till uppslagning av inköpt massa</t>
  </si>
  <si>
    <t>gemensam elförbrukning som fördelats till, eller med utgångspunkt från andel av uppmätt förbrukning hänförts till själva pappersproduktionen</t>
  </si>
  <si>
    <t>ORT:</t>
  </si>
  <si>
    <t>ånga som produceras i annan panna, ej ansluten till turbin</t>
  </si>
  <si>
    <t>Q uppsl</t>
  </si>
  <si>
    <t>gemensam värmeförbrukning som fördelats till, eller med utgångspunkt från andel av uppmätt förbrukning hänförts till  produktion av pumpmassa</t>
  </si>
  <si>
    <t>bränsle som används för att producera värme i form av ånga eller hetvatten fördelad till produktionen av pumpmassa</t>
  </si>
  <si>
    <t>bränsle som används för att producera värme i form av ånga eller hetvatten fördelad till torkning av pumpmassa till avsalumassa</t>
  </si>
  <si>
    <t>bränsle som används för att producera värme i form av ånga eller hetvatten fördelad till uppslagning av inköpt massa</t>
  </si>
  <si>
    <t>bränsle som används för att producera värme i form av ånga eller hetvatten fördelad till själva pappersproduktionen</t>
  </si>
  <si>
    <t>br bio eget fast</t>
  </si>
  <si>
    <t>El tot uppm</t>
  </si>
  <si>
    <t>Total uppmätt förbrukning av el i massa- och pappersbruket</t>
  </si>
  <si>
    <t>Vedråvara</t>
  </si>
  <si>
    <r>
      <t xml:space="preserve">Ange vilken typ av vedråvara som används
</t>
    </r>
    <r>
      <rPr>
        <i/>
        <sz val="11"/>
        <color theme="1"/>
        <rFont val="Calibri"/>
        <family val="2"/>
        <scheme val="minor"/>
      </rPr>
      <t>[Infoga rader efter behov (om flera typer av vedråvara)]</t>
    </r>
  </si>
  <si>
    <t>Enhet</t>
  </si>
  <si>
    <t>netto förbrukning av värme vid massa- och pappersbruket, beräknad från värmeproduktion</t>
  </si>
  <si>
    <t>Fyllmedel, bestrykning</t>
  </si>
  <si>
    <t>Massatyp</t>
  </si>
  <si>
    <t>GJ/ADt</t>
  </si>
  <si>
    <t>GJ/ton</t>
  </si>
  <si>
    <t>Fasta biobränslen - övergripande balans</t>
  </si>
  <si>
    <r>
      <t xml:space="preserve">Ange typ av massa
</t>
    </r>
    <r>
      <rPr>
        <i/>
        <sz val="11"/>
        <rFont val="Calibri"/>
        <family val="2"/>
        <scheme val="minor"/>
      </rPr>
      <t>[Infoga rader efter behov (om flera typer ]</t>
    </r>
  </si>
  <si>
    <r>
      <t xml:space="preserve">Ange om fyllmedel eller bestrykningsmedel används (ökar pappersproduktionens vikt)
</t>
    </r>
    <r>
      <rPr>
        <i/>
        <sz val="11"/>
        <rFont val="Calibri"/>
        <family val="2"/>
        <scheme val="minor"/>
      </rPr>
      <t>[Infoga rader efter behov]</t>
    </r>
  </si>
  <si>
    <t>balanspost för el, avvikelse mellan tillförsel och uppmätt användning (inkluderar t.ex. förluster, ouppmätt förbrukning, mätfel osv)</t>
  </si>
  <si>
    <t>brutto förbrukning av värme vid massa- och pappersbruket, beräknad från värmeproduktion</t>
  </si>
  <si>
    <t>balanspost för primärvärme, avvikelse mellan produktion och uppmätt förbrukning (inkluderar förluster, ouppmätt förbrukning, mätfel osv)</t>
  </si>
  <si>
    <t>egengenererat biobränsle (t.ex. bark) som uppkommit utanför ”inre systemgräns” på bruket (dvs i vedhantering/renseri)</t>
  </si>
  <si>
    <t>bark, spån och annat fast biobränsle</t>
  </si>
  <si>
    <t>övriga fossila bränslen, t.ex. gasol och naturgas</t>
  </si>
  <si>
    <t>såld massa (avsalumassa)</t>
  </si>
  <si>
    <t>Inköpt kalk</t>
  </si>
  <si>
    <t>Ange om bränd kalk köps in på grund av begränsad kapacitet i mesaugnen. Ange andelen inköpt kalk av total kalkförbrukning.</t>
  </si>
  <si>
    <t>vikt%</t>
  </si>
  <si>
    <t>el producerad som mottryckskraft i turbin vid bruket</t>
  </si>
  <si>
    <t>el prod kond</t>
  </si>
  <si>
    <t>el producerad som kondenskraft i turbin vid bruket</t>
  </si>
  <si>
    <t>se PM avsnitt 2.4 'Värme' för ytterligare instruktioner om hur producerad och förbrukad ånga ska anges</t>
  </si>
  <si>
    <t>ånga som tillförs processen efter passage av mottrycksproduktion, dvs ånga ut från turbiner anslutna till sodapanna, fastbränslepanna eller annan panna</t>
  </si>
  <si>
    <t>direktreducerad ånga som tillförs processen från sodapanna, fastbränslepanna eller annan panna utan att passera mottrycksturbin</t>
  </si>
  <si>
    <t>primärvärme som säljs till extern förbrukare</t>
  </si>
  <si>
    <t>q prim kond</t>
  </si>
  <si>
    <t>ånga som används för produktion av kondensel</t>
  </si>
  <si>
    <t>egengenererad och inköpt bark och annat fast biobränsle</t>
  </si>
  <si>
    <t>br ext prim värme</t>
  </si>
  <si>
    <t>bränsle som använts för att producera primärvärme som levereras externt (t.ex. till fjärrvärme)</t>
  </si>
  <si>
    <t>η kond</t>
  </si>
  <si>
    <t>verkningsgrad för barkpanna eller annan energipanna som producerar ånga för kondenselproduktion. Om inte verkningsgraden är känd för pannan sätts den schablonmässigt till 85 %.</t>
  </si>
  <si>
    <t>bränsle som använts för att producera kondensel</t>
  </si>
  <si>
    <t>br kondensel</t>
  </si>
  <si>
    <t>η fos ext</t>
  </si>
  <si>
    <t>br ext prim värme fos</t>
  </si>
  <si>
    <t>η fos kond</t>
  </si>
  <si>
    <t>F22</t>
  </si>
  <si>
    <t>F23</t>
  </si>
  <si>
    <t>Barr - rundved</t>
  </si>
  <si>
    <t>[Ange ungefärlig andel av respektive typ (om flera används)]</t>
  </si>
  <si>
    <t>Barr - flis</t>
  </si>
  <si>
    <t>Löv - rundved</t>
  </si>
  <si>
    <t>%</t>
  </si>
  <si>
    <t>pappersmassa</t>
  </si>
  <si>
    <t>ECF-blekt</t>
  </si>
  <si>
    <t>Oblekt</t>
  </si>
  <si>
    <t>Egenproducerade</t>
  </si>
  <si>
    <t>Betydande mängd inköpt kalk</t>
  </si>
  <si>
    <t>[Om betydande mängd inköpt kalk, ange ungefärlig andel inköpt]</t>
  </si>
  <si>
    <t>Förpackningskartong</t>
  </si>
  <si>
    <t>Förpackningspapper</t>
  </si>
  <si>
    <t>Bestrykning</t>
  </si>
  <si>
    <t>Kondens</t>
  </si>
  <si>
    <t>Lignin</t>
  </si>
  <si>
    <t>m3</t>
  </si>
  <si>
    <t>såld tallolja och terpentin</t>
  </si>
  <si>
    <t>Mottryck</t>
  </si>
  <si>
    <t xml:space="preserve">balanspost för sekundärvärme, avvikelse mellan summan av värmekällor och värmesänkor (hänförs till gemensamma funktioner) </t>
  </si>
  <si>
    <t>Br tot inre netto alt</t>
  </si>
  <si>
    <t>Br pump alt</t>
  </si>
  <si>
    <t>Br tork alt</t>
  </si>
  <si>
    <t>Br uppsl alt</t>
  </si>
  <si>
    <t>Br pa alt</t>
  </si>
  <si>
    <t>B27</t>
  </si>
  <si>
    <t>B28</t>
  </si>
  <si>
    <t>B29</t>
  </si>
  <si>
    <t>B30</t>
  </si>
  <si>
    <t>B31</t>
  </si>
  <si>
    <t>B32</t>
  </si>
  <si>
    <t>B33</t>
  </si>
  <si>
    <t>B34</t>
  </si>
  <si>
    <t>B35</t>
  </si>
  <si>
    <t>B36</t>
  </si>
  <si>
    <t>B37</t>
  </si>
  <si>
    <t>B38</t>
  </si>
  <si>
    <t>B39</t>
  </si>
  <si>
    <t>B40</t>
  </si>
  <si>
    <t>Br tot fos alt</t>
  </si>
  <si>
    <t>Br pump fos alt</t>
  </si>
  <si>
    <t>Br tork fos alt</t>
  </si>
  <si>
    <t>Br uppsl fos alt</t>
  </si>
  <si>
    <t>Br pa fos alt</t>
  </si>
  <si>
    <t>F24</t>
  </si>
  <si>
    <t>F25</t>
  </si>
  <si>
    <t>F26</t>
  </si>
  <si>
    <t>F27</t>
  </si>
  <si>
    <t>F28</t>
  </si>
  <si>
    <t>F29</t>
  </si>
  <si>
    <t>F30</t>
  </si>
  <si>
    <t>F31</t>
  </si>
  <si>
    <t>F32</t>
  </si>
  <si>
    <t>F33</t>
  </si>
  <si>
    <t>Q23</t>
  </si>
  <si>
    <t>B41</t>
  </si>
  <si>
    <t>B42</t>
  </si>
  <si>
    <t>F34</t>
  </si>
  <si>
    <t>Elförbrukning</t>
  </si>
  <si>
    <t>Fossil bränsleförbrukning</t>
  </si>
  <si>
    <t>Bränsleförbrukning</t>
  </si>
  <si>
    <t>E25</t>
  </si>
  <si>
    <t>E26</t>
  </si>
  <si>
    <t>E27</t>
  </si>
  <si>
    <t>E28</t>
  </si>
  <si>
    <t>E29</t>
  </si>
  <si>
    <t>E30</t>
  </si>
  <si>
    <t>E31</t>
  </si>
  <si>
    <t xml:space="preserve"> - totalt för bruket per producerad mängd slutprodukt</t>
  </si>
  <si>
    <t xml:space="preserve"> - per producerad mängd pumpmassa</t>
  </si>
  <si>
    <t xml:space="preserve"> - för torkning, per producerad mängd avsalumassa</t>
  </si>
  <si>
    <t xml:space="preserve"> - per producerad mängd papper från pumpmassa</t>
  </si>
  <si>
    <t xml:space="preserve"> - per producerad mängd papper från inköpt massa</t>
  </si>
  <si>
    <t xml:space="preserve"> - för bruket per producerad mängd slutprodukt</t>
  </si>
  <si>
    <t xml:space="preserve"> - per producerad mängd avsalumassa</t>
  </si>
  <si>
    <t>Summa sålda energiprodukter som uppkommit inom inre systemgräns</t>
  </si>
  <si>
    <t>br såld tall/terp</t>
  </si>
  <si>
    <t>alt 0</t>
  </si>
  <si>
    <t>alt 1</t>
  </si>
  <si>
    <t>Värmeförbrukning</t>
  </si>
  <si>
    <t>Versionsdatum för beräkningsmodellen</t>
  </si>
  <si>
    <t>Datum för aktuell beräkning</t>
  </si>
  <si>
    <t>Verksamhetsår som beräkningen avser</t>
  </si>
  <si>
    <t>el prod mot</t>
  </si>
  <si>
    <t>Summa bränsle direktvärme, inre systemgräns (beräknad från bränsleslag)</t>
  </si>
  <si>
    <t>Summa bränsle direktvärme, inre systemgräns (beräknad från ändamål)</t>
  </si>
  <si>
    <t>Summa bränsle direktvärme, yttre systemgräns (beräknad från bränsleslag)</t>
  </si>
  <si>
    <t>verkningsgrad för fossileldad energipanna som producerar ånga för kondenselproduktion. Sätts schablonmässigt till 90% om  verkningsgraden för pannan inte är känd. Lämnas tom om fossilt bränsle aldrig används vid kondensdrift.</t>
  </si>
  <si>
    <t>fossilt bränsle som gått åt för att producera kondensel</t>
  </si>
  <si>
    <r>
      <t>Grönt med</t>
    </r>
    <r>
      <rPr>
        <b/>
        <sz val="11"/>
        <color rgb="FF0070C0"/>
        <rFont val="Calibri"/>
        <family val="2"/>
        <scheme val="minor"/>
      </rPr>
      <t xml:space="preserve"> blå text</t>
    </r>
    <r>
      <rPr>
        <b/>
        <sz val="11"/>
        <color theme="1"/>
        <rFont val="Calibri"/>
        <family val="2"/>
        <scheme val="minor"/>
      </rPr>
      <t xml:space="preserve"> = Celler där data ska läggas in</t>
    </r>
  </si>
  <si>
    <t>OBS! Inlagda värden är endast till för att vara exempel på hur man lägger in data, och för kontroll av att formlerna fungerar. Data är mer eller mindre slumpvis valda och representerar inte något verkligt bruk.</t>
  </si>
  <si>
    <t>202X-XX-XX</t>
  </si>
  <si>
    <t>202X</t>
  </si>
  <si>
    <r>
      <t xml:space="preserve">Ange typ av turbin (mottryck/kondens) och antal
</t>
    </r>
    <r>
      <rPr>
        <i/>
        <sz val="11"/>
        <color theme="1"/>
        <rFont val="Calibri"/>
        <family val="2"/>
        <scheme val="minor"/>
      </rPr>
      <t>[Infoga rader efter behov (om flera typer av turbiner)]</t>
    </r>
  </si>
  <si>
    <t>del av gemensam elförbrukning (inkl gemensam balanspost) som kan fördelas till själva pappersproduktionen baserat på rimliga antaganden och uppskattningar</t>
  </si>
  <si>
    <t>biodrivmedel, t.ex. biodiesel och etanol för interna transporter</t>
  </si>
  <si>
    <t>GJ/ADt + ton</t>
  </si>
  <si>
    <t>F35</t>
  </si>
  <si>
    <t>E32</t>
  </si>
  <si>
    <t>br kondensel fos</t>
  </si>
  <si>
    <t>övriga sålda energiprodukter, t ex lignin, metanol, exkl. bark och annat biobränsle som uppkommer i vedhantering/renseri</t>
  </si>
  <si>
    <t>br sålt övr</t>
  </si>
  <si>
    <t>Sålda energiprodukter, inre systemgräns</t>
  </si>
  <si>
    <t>Alternativ 0: all elanvändning, inkl el till elpannor</t>
  </si>
  <si>
    <t>Alternativ 1: exkl el som används i elpanna för värmeproduktion</t>
  </si>
  <si>
    <t>Alternativ 0: all bränsleförbrukning, inkl  bränsle till pannor, inre systemgräns</t>
  </si>
  <si>
    <t>Alternativ 1: exkl bränsle till pannor, inre systemgräns</t>
  </si>
  <si>
    <t>Alternativ 1: enbart bränsle för annat ändamål än värmeproduktion i pannor, inre systemgräns</t>
  </si>
  <si>
    <t>Alternativ 2: all användning av bränsle (inkl pannor), men yttre systemgräns (används ej för nyckeltal)</t>
  </si>
  <si>
    <t>Alternativ 1: exkl bränsle till pannor</t>
  </si>
  <si>
    <t>Alternativ 0: all fossil bränsleförbrukning, inkl  bränsle till pannor</t>
  </si>
  <si>
    <t>Alternativ 1: enbart bränsle för annat ändamål än värmeproduktion i pannor</t>
  </si>
  <si>
    <t>produktion av papper och kartong (säljbar produkt, före ev konvertering)</t>
  </si>
  <si>
    <t>q prim såld</t>
  </si>
  <si>
    <t>primärvärme som används i egna processer utanför systemgränsen för konventionell massa-/pappersproduktion (t.ex. för papperskonvertering eller för upparbetning av biprodukter som lignin eller metanol)</t>
  </si>
  <si>
    <t>q sek såld</t>
  </si>
  <si>
    <t>sekundärvärme som används i egna processer utanför systemgränsen för konventionell massa-/pappersproduktion (t.ex. för papperskonvertering eller för upparbetning av biprodukter som lignin eller metanol)</t>
  </si>
  <si>
    <t>verkningsgrad för barkpanna eller annan energipanna som producerar ånga som levereras externt eller används vid bruket, men i anläggning utanför systemgräns för konventionell massa/pappersproduktion. Om inte verkningsgraden för pannan är känd sätts den schablonmässigt till 85 %.</t>
  </si>
  <si>
    <t>br såld prim värme</t>
  </si>
  <si>
    <t>br såld prim värme fos</t>
  </si>
  <si>
    <t>bränsle som använts för att producera primärvärme som används vid bruket, men utanför systemgränsen för massa- och pappersproduktionen</t>
  </si>
  <si>
    <t>fossilt bränsle som använts för att producera primärvärme som levereras externt (t.ex. till fjärrvärme)</t>
  </si>
  <si>
    <t>fossilt bränsle som använts för att producera primärvärme som används vid bruket, men utanför systemgränsen för massa- och pappersproduktionen</t>
  </si>
  <si>
    <t>el ext</t>
  </si>
  <si>
    <t>el som används i egna processer utanför systemgränsen för konventionell massa-/pappersproduktion (t.ex. för papperskonvertering eller för upparbetning av biprodukter som lignin eller metanol)</t>
  </si>
  <si>
    <r>
      <rPr>
        <b/>
        <sz val="11"/>
        <color theme="1"/>
        <rFont val="Calibri"/>
        <family val="2"/>
        <scheme val="minor"/>
      </rPr>
      <t xml:space="preserve">Övriga upplysningar </t>
    </r>
    <r>
      <rPr>
        <i/>
        <sz val="11"/>
        <color theme="1"/>
        <rFont val="Calibri"/>
        <family val="2"/>
        <scheme val="minor"/>
      </rPr>
      <t>(exempelvis: Om data bygger på annat än huvudsakligen kontinuerlig mätning; Viktiga skillnader jämfört med tidigare år; Viktiga skillnader jämfört med liknande bruk; Andra levererade nyttor och tjänster (t.ex. flexibilitet i effektuttag), som påverkar energianvändning; Övrigt som är viktigt att beakta vid tolkning av nyckeltalen)</t>
    </r>
  </si>
  <si>
    <t>Br sålt inre</t>
  </si>
  <si>
    <t>verkningsgrad för fossileldad energipanna som producerar ånga som levereras externt eller används vid bruket, men i anläggning utanför systemgräns för konventionell massa/pappersproduktion. Om inte verkningsgraden för pannan är känd sätts den schablonmässigt till 90 %. Lämnas tom om fossilt bränsle aldrig används för att producera sådan värme.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</si>
</sst>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32" x14ac:knownFonts="1">
    <font>
      <sz val="11"/>
      <color theme="1"/>
      <name val="Calibri"/>
      <family val="2"/>
      <scheme val="minor"/>
    </font>
    <font>
      <b/>
      <sz val="11"/>
      <color theme="1"/>
      <name val="Calibri"/>
      <family val="2"/>
      <scheme val="minor"/>
    </font>
    <font>
      <b/>
      <i/>
      <sz val="18"/>
      <color theme="3" tint="-0.249977111117893"/>
      <name val="Franklin Gothic Book"/>
      <family val="2"/>
    </font>
    <font>
      <i/>
      <sz val="11"/>
      <color theme="1"/>
      <name val="Calibri"/>
      <family val="2"/>
      <scheme val="minor"/>
    </font>
    <font>
      <sz val="11"/>
      <color theme="3" tint="-0.249977111117893"/>
      <name val="Calibri"/>
      <family val="2"/>
      <scheme val="minor"/>
    </font>
    <font>
      <b/>
      <sz val="11"/>
      <color theme="3" tint="-0.249977111117893"/>
      <name val="Calibri"/>
      <family val="2"/>
      <scheme val="minor"/>
    </font>
    <font>
      <b/>
      <sz val="11"/>
      <color rgb="FF4B876C"/>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font>
    <font>
      <sz val="11"/>
      <color theme="1"/>
      <name val="Calibri"/>
      <family val="2"/>
      <scheme val="minor"/>
    </font>
    <font>
      <b/>
      <sz val="11"/>
      <name val="Calibri"/>
      <family val="2"/>
      <scheme val="minor"/>
    </font>
    <font>
      <b/>
      <i/>
      <sz val="11"/>
      <name val="Calibri"/>
      <family val="2"/>
      <scheme val="minor"/>
    </font>
    <font>
      <b/>
      <sz val="16"/>
      <color rgb="FFFF0000"/>
      <name val="Calibri"/>
      <family val="2"/>
      <scheme val="minor"/>
    </font>
    <font>
      <i/>
      <sz val="11"/>
      <name val="Calibri"/>
      <family val="2"/>
      <scheme val="minor"/>
    </font>
    <font>
      <i/>
      <sz val="11"/>
      <color rgb="FF0070C0"/>
      <name val="Calibri"/>
      <family val="2"/>
      <scheme val="minor"/>
    </font>
    <font>
      <b/>
      <i/>
      <sz val="11"/>
      <color rgb="FFFF0000"/>
      <name val="Calibri"/>
      <family val="2"/>
      <scheme val="minor"/>
    </font>
    <font>
      <b/>
      <sz val="16"/>
      <color rgb="FF0070C0"/>
      <name val="Calibri"/>
      <family val="2"/>
      <scheme val="minor"/>
    </font>
    <font>
      <b/>
      <sz val="16"/>
      <name val="Calibri"/>
      <family val="2"/>
      <scheme val="minor"/>
    </font>
    <font>
      <b/>
      <sz val="12"/>
      <name val="Calibri"/>
      <family val="2"/>
      <scheme val="minor"/>
    </font>
    <font>
      <sz val="11"/>
      <color rgb="FF4B876C"/>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s>
  <borders count="46">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theme="0" tint="-0.14996795556505021"/>
      </left>
      <right/>
      <top style="thin">
        <color indexed="64"/>
      </top>
      <bottom/>
      <diagonal/>
    </border>
    <border>
      <left style="thin">
        <color theme="0" tint="-0.14996795556505021"/>
      </left>
      <right/>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9" fontId="21" fillId="0" borderId="0" applyFont="0" applyFill="0" applyBorder="0" applyAlignment="0" applyProtection="0"/>
    <xf numFmtId="0" fontId="21" fillId="9" borderId="0" applyNumberFormat="0" applyBorder="0" applyAlignment="0" applyProtection="0"/>
  </cellStyleXfs>
  <cellXfs count="302">
    <xf numFmtId="0" fontId="0" fillId="0" borderId="0" xfId="0"/>
    <xf numFmtId="0" fontId="2" fillId="0" borderId="0" xfId="0" applyFont="1"/>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8" fillId="0" borderId="0" xfId="0" applyFont="1"/>
    <xf numFmtId="0" fontId="18" fillId="0" borderId="1" xfId="0" applyFont="1" applyBorder="1"/>
    <xf numFmtId="0" fontId="0" fillId="5" borderId="0" xfId="0" applyFill="1" applyAlignment="1">
      <alignment wrapText="1"/>
    </xf>
    <xf numFmtId="0" fontId="5" fillId="0" borderId="1" xfId="0" applyFont="1" applyBorder="1" applyAlignment="1">
      <alignment wrapText="1"/>
    </xf>
    <xf numFmtId="0" fontId="4" fillId="0" borderId="0" xfId="0" applyFont="1" applyAlignment="1">
      <alignment wrapText="1"/>
    </xf>
    <xf numFmtId="3" fontId="10" fillId="5" borderId="0" xfId="0" applyNumberFormat="1" applyFont="1" applyFill="1" applyAlignment="1">
      <alignment wrapText="1"/>
    </xf>
    <xf numFmtId="0" fontId="4" fillId="5" borderId="0" xfId="0" applyFont="1" applyFill="1" applyAlignment="1">
      <alignment wrapText="1"/>
    </xf>
    <xf numFmtId="3" fontId="10" fillId="0" borderId="0" xfId="0" applyNumberFormat="1" applyFont="1" applyAlignment="1">
      <alignment wrapText="1"/>
    </xf>
    <xf numFmtId="0" fontId="7" fillId="0" borderId="0" xfId="0" applyFont="1" applyAlignment="1">
      <alignment wrapText="1"/>
    </xf>
    <xf numFmtId="0" fontId="17" fillId="0" borderId="0" xfId="0" applyFont="1" applyAlignment="1">
      <alignment wrapText="1"/>
    </xf>
    <xf numFmtId="3" fontId="0" fillId="0" borderId="0" xfId="0" applyNumberFormat="1" applyAlignment="1">
      <alignment wrapText="1"/>
    </xf>
    <xf numFmtId="0" fontId="17" fillId="5" borderId="0" xfId="0" applyFont="1" applyFill="1" applyAlignment="1">
      <alignment wrapText="1"/>
    </xf>
    <xf numFmtId="0" fontId="3" fillId="0" borderId="0" xfId="0" applyFont="1" applyAlignment="1">
      <alignment wrapText="1"/>
    </xf>
    <xf numFmtId="0" fontId="0" fillId="0" borderId="8" xfId="0" applyBorder="1" applyAlignment="1">
      <alignment wrapText="1"/>
    </xf>
    <xf numFmtId="0" fontId="0" fillId="0" borderId="12" xfId="0" applyBorder="1" applyAlignment="1">
      <alignment wrapText="1"/>
    </xf>
    <xf numFmtId="0" fontId="8" fillId="0" borderId="0" xfId="0" applyFont="1" applyAlignment="1">
      <alignment wrapText="1"/>
    </xf>
    <xf numFmtId="0" fontId="1" fillId="0" borderId="8" xfId="0" applyFont="1" applyBorder="1" applyAlignment="1">
      <alignment wrapText="1"/>
    </xf>
    <xf numFmtId="0" fontId="1" fillId="0" borderId="9"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 fillId="0" borderId="16" xfId="0" applyFont="1" applyBorder="1" applyAlignment="1">
      <alignment wrapText="1"/>
    </xf>
    <xf numFmtId="0" fontId="1" fillId="0" borderId="17" xfId="0" applyFont="1" applyBorder="1" applyAlignment="1">
      <alignment wrapText="1"/>
    </xf>
    <xf numFmtId="0" fontId="19" fillId="0" borderId="8" xfId="0" applyFont="1" applyBorder="1" applyAlignment="1">
      <alignment wrapText="1"/>
    </xf>
    <xf numFmtId="0" fontId="19" fillId="0" borderId="8" xfId="0" applyFont="1" applyBorder="1" applyAlignment="1">
      <alignment horizontal="left" wrapText="1"/>
    </xf>
    <xf numFmtId="0" fontId="0" fillId="0" borderId="0" xfId="0" applyAlignment="1">
      <alignment horizontal="right" wrapText="1"/>
    </xf>
    <xf numFmtId="0" fontId="0" fillId="0" borderId="1" xfId="0" applyBorder="1" applyAlignment="1">
      <alignment horizontal="right" wrapText="1"/>
    </xf>
    <xf numFmtId="0" fontId="8" fillId="0" borderId="1" xfId="0" applyFont="1" applyBorder="1" applyAlignment="1">
      <alignment horizontal="right" wrapText="1"/>
    </xf>
    <xf numFmtId="0" fontId="0" fillId="0" borderId="8" xfId="0" applyBorder="1" applyAlignment="1">
      <alignment horizontal="right" wrapText="1"/>
    </xf>
    <xf numFmtId="0" fontId="0" fillId="0" borderId="0" xfId="0" applyAlignment="1">
      <alignment horizontal="left" wrapText="1"/>
    </xf>
    <xf numFmtId="0" fontId="9" fillId="0" borderId="0" xfId="0" applyFont="1" applyAlignment="1">
      <alignment horizontal="left" wrapText="1"/>
    </xf>
    <xf numFmtId="0" fontId="6" fillId="0" borderId="0" xfId="0" applyFont="1" applyAlignment="1">
      <alignment horizontal="center" wrapText="1"/>
    </xf>
    <xf numFmtId="0" fontId="0" fillId="0" borderId="17" xfId="0" applyBorder="1" applyAlignment="1">
      <alignment horizontal="right" wrapText="1"/>
    </xf>
    <xf numFmtId="0" fontId="20" fillId="0" borderId="0" xfId="0" applyFont="1" applyAlignment="1">
      <alignment wrapText="1"/>
    </xf>
    <xf numFmtId="0" fontId="20" fillId="0" borderId="1" xfId="0" applyFont="1" applyBorder="1" applyAlignment="1">
      <alignment wrapText="1"/>
    </xf>
    <xf numFmtId="166" fontId="0" fillId="0" borderId="0" xfId="0" applyNumberFormat="1" applyAlignment="1">
      <alignment wrapText="1"/>
    </xf>
    <xf numFmtId="164" fontId="0" fillId="0" borderId="0" xfId="0" applyNumberFormat="1" applyAlignment="1">
      <alignment horizontal="right" wrapText="1"/>
    </xf>
    <xf numFmtId="2" fontId="0" fillId="0" borderId="0" xfId="0" applyNumberFormat="1" applyAlignment="1">
      <alignment wrapText="1"/>
    </xf>
    <xf numFmtId="164" fontId="0" fillId="0" borderId="0" xfId="0" applyNumberFormat="1" applyAlignment="1">
      <alignment wrapText="1"/>
    </xf>
    <xf numFmtId="0" fontId="0" fillId="2" borderId="1" xfId="0" applyFill="1" applyBorder="1" applyAlignment="1">
      <alignment horizontal="right" wrapText="1"/>
    </xf>
    <xf numFmtId="0" fontId="2" fillId="0" borderId="0" xfId="0" applyFont="1" applyAlignment="1">
      <alignment horizontal="center" wrapText="1"/>
    </xf>
    <xf numFmtId="0" fontId="0" fillId="5" borderId="0" xfId="0" applyFill="1" applyAlignment="1">
      <alignment horizontal="center" wrapText="1"/>
    </xf>
    <xf numFmtId="0" fontId="1" fillId="0" borderId="0" xfId="0" applyFont="1" applyAlignment="1">
      <alignment horizontal="left"/>
    </xf>
    <xf numFmtId="0" fontId="0" fillId="0" borderId="7" xfId="0" applyBorder="1" applyAlignment="1">
      <alignment horizontal="center" wrapText="1"/>
    </xf>
    <xf numFmtId="164" fontId="0" fillId="4" borderId="9" xfId="0" applyNumberFormat="1" applyFill="1" applyBorder="1" applyAlignment="1">
      <alignment horizontal="right" wrapText="1"/>
    </xf>
    <xf numFmtId="0" fontId="0" fillId="0" borderId="10" xfId="0" applyBorder="1" applyAlignment="1">
      <alignment horizontal="center" wrapText="1"/>
    </xf>
    <xf numFmtId="2" fontId="0" fillId="4" borderId="11" xfId="0" applyNumberFormat="1" applyFill="1" applyBorder="1" applyAlignment="1">
      <alignment horizontal="right" wrapText="1"/>
    </xf>
    <xf numFmtId="2" fontId="0" fillId="4" borderId="11" xfId="0" applyNumberFormat="1" applyFill="1" applyBorder="1" applyAlignment="1">
      <alignment wrapText="1"/>
    </xf>
    <xf numFmtId="0" fontId="0" fillId="0" borderId="12" xfId="0" applyBorder="1" applyAlignment="1">
      <alignment horizontal="center" wrapText="1"/>
    </xf>
    <xf numFmtId="164" fontId="0" fillId="4" borderId="13" xfId="0" applyNumberFormat="1" applyFill="1" applyBorder="1" applyAlignment="1">
      <alignment wrapText="1"/>
    </xf>
    <xf numFmtId="164" fontId="0" fillId="4" borderId="11" xfId="0" applyNumberFormat="1" applyFill="1" applyBorder="1" applyAlignment="1">
      <alignment horizontal="right" wrapText="1"/>
    </xf>
    <xf numFmtId="0" fontId="1" fillId="0" borderId="16" xfId="0" applyFont="1" applyBorder="1" applyAlignment="1">
      <alignment horizontal="center" wrapText="1"/>
    </xf>
    <xf numFmtId="1" fontId="0" fillId="4" borderId="11" xfId="0" applyNumberFormat="1" applyFill="1" applyBorder="1" applyAlignment="1">
      <alignment horizontal="right" wrapText="1"/>
    </xf>
    <xf numFmtId="1" fontId="0" fillId="4" borderId="11" xfId="0" applyNumberFormat="1" applyFill="1" applyBorder="1" applyAlignment="1">
      <alignment wrapText="1"/>
    </xf>
    <xf numFmtId="1" fontId="0" fillId="4" borderId="13" xfId="0" applyNumberFormat="1" applyFill="1" applyBorder="1" applyAlignment="1">
      <alignment wrapText="1"/>
    </xf>
    <xf numFmtId="0" fontId="1" fillId="0" borderId="7" xfId="0" applyFont="1" applyBorder="1" applyAlignment="1">
      <alignment horizontal="center" wrapText="1"/>
    </xf>
    <xf numFmtId="3" fontId="10" fillId="3" borderId="11" xfId="0" applyNumberFormat="1" applyFont="1" applyFill="1" applyBorder="1" applyAlignment="1">
      <alignment horizontal="left" wrapText="1"/>
    </xf>
    <xf numFmtId="3" fontId="8" fillId="4" borderId="13" xfId="0" applyNumberFormat="1" applyFont="1" applyFill="1" applyBorder="1" applyAlignment="1">
      <alignment horizontal="right" wrapText="1"/>
    </xf>
    <xf numFmtId="1" fontId="0" fillId="4" borderId="9" xfId="0" applyNumberFormat="1" applyFill="1" applyBorder="1" applyAlignment="1">
      <alignment horizontal="right" wrapText="1"/>
    </xf>
    <xf numFmtId="164" fontId="0" fillId="4" borderId="11" xfId="0" applyNumberFormat="1" applyFill="1" applyBorder="1" applyAlignment="1">
      <alignment wrapText="1"/>
    </xf>
    <xf numFmtId="3" fontId="8" fillId="2" borderId="13" xfId="0" applyNumberFormat="1" applyFont="1" applyFill="1" applyBorder="1" applyAlignment="1">
      <alignment horizontal="right" wrapText="1"/>
    </xf>
    <xf numFmtId="0" fontId="1" fillId="0" borderId="15" xfId="0" applyFont="1" applyBorder="1" applyAlignment="1">
      <alignment horizontal="center" wrapText="1"/>
    </xf>
    <xf numFmtId="3" fontId="0" fillId="4" borderId="11" xfId="0" applyNumberFormat="1" applyFill="1" applyBorder="1" applyAlignment="1">
      <alignment horizontal="right" wrapText="1"/>
    </xf>
    <xf numFmtId="3" fontId="0" fillId="4" borderId="11" xfId="0" applyNumberFormat="1" applyFill="1" applyBorder="1" applyAlignment="1">
      <alignment wrapText="1"/>
    </xf>
    <xf numFmtId="3" fontId="0" fillId="4" borderId="13" xfId="0" applyNumberFormat="1" applyFill="1" applyBorder="1" applyAlignment="1">
      <alignment wrapText="1"/>
    </xf>
    <xf numFmtId="165" fontId="0" fillId="4" borderId="11" xfId="0" applyNumberFormat="1" applyFill="1" applyBorder="1" applyAlignment="1">
      <alignment horizontal="right" wrapText="1"/>
    </xf>
    <xf numFmtId="3" fontId="0" fillId="4" borderId="13" xfId="0" applyNumberFormat="1" applyFill="1" applyBorder="1" applyAlignment="1">
      <alignment horizontal="right" wrapText="1"/>
    </xf>
    <xf numFmtId="3" fontId="0" fillId="4" borderId="9" xfId="0" applyNumberFormat="1" applyFill="1" applyBorder="1" applyAlignment="1">
      <alignment horizontal="right" wrapText="1"/>
    </xf>
    <xf numFmtId="164" fontId="0" fillId="4" borderId="13" xfId="0" applyNumberFormat="1" applyFill="1" applyBorder="1" applyAlignment="1">
      <alignment horizontal="right" wrapText="1"/>
    </xf>
    <xf numFmtId="3" fontId="22" fillId="0" borderId="11" xfId="0" applyNumberFormat="1" applyFont="1" applyBorder="1" applyAlignment="1">
      <alignment horizontal="center" wrapText="1"/>
    </xf>
    <xf numFmtId="3" fontId="22" fillId="0" borderId="11" xfId="0" applyNumberFormat="1" applyFont="1" applyBorder="1" applyAlignment="1">
      <alignment horizontal="left" wrapText="1"/>
    </xf>
    <xf numFmtId="0" fontId="8" fillId="0" borderId="0" xfId="0" applyFont="1" applyAlignment="1">
      <alignment horizontal="left" wrapText="1"/>
    </xf>
    <xf numFmtId="0" fontId="0" fillId="0" borderId="1" xfId="0" applyBorder="1" applyAlignment="1">
      <alignment horizontal="left" wrapText="1"/>
    </xf>
    <xf numFmtId="0" fontId="8" fillId="0" borderId="8" xfId="0" applyFont="1" applyBorder="1" applyAlignment="1">
      <alignment horizontal="right" wrapText="1"/>
    </xf>
    <xf numFmtId="0" fontId="8" fillId="0" borderId="0" xfId="0" applyFont="1" applyAlignment="1">
      <alignment horizontal="right" wrapText="1"/>
    </xf>
    <xf numFmtId="4" fontId="8" fillId="4" borderId="11" xfId="0" applyNumberFormat="1" applyFont="1" applyFill="1" applyBorder="1" applyAlignment="1">
      <alignment horizontal="right" wrapText="1"/>
    </xf>
    <xf numFmtId="3" fontId="8" fillId="4" borderId="11" xfId="0" applyNumberFormat="1" applyFont="1" applyFill="1" applyBorder="1" applyAlignment="1">
      <alignment horizontal="right" wrapText="1"/>
    </xf>
    <xf numFmtId="3" fontId="8" fillId="4" borderId="11" xfId="0" applyNumberFormat="1" applyFont="1" applyFill="1" applyBorder="1" applyAlignment="1">
      <alignment wrapText="1"/>
    </xf>
    <xf numFmtId="0" fontId="0" fillId="0" borderId="8" xfId="0" applyBorder="1" applyAlignment="1">
      <alignment horizontal="left" wrapText="1"/>
    </xf>
    <xf numFmtId="0" fontId="23" fillId="0" borderId="8" xfId="0" applyFont="1" applyBorder="1" applyAlignment="1">
      <alignment wrapText="1"/>
    </xf>
    <xf numFmtId="0" fontId="1" fillId="0" borderId="0" xfId="0" applyFont="1"/>
    <xf numFmtId="3" fontId="10" fillId="0" borderId="0" xfId="0" applyNumberFormat="1" applyFont="1" applyAlignment="1">
      <alignment horizontal="left" wrapText="1"/>
    </xf>
    <xf numFmtId="0" fontId="1" fillId="0" borderId="17" xfId="0" applyFont="1" applyBorder="1" applyAlignment="1">
      <alignment horizontal="center" wrapText="1"/>
    </xf>
    <xf numFmtId="0" fontId="1" fillId="9" borderId="19" xfId="2" applyFont="1" applyBorder="1"/>
    <xf numFmtId="0" fontId="0" fillId="0" borderId="21" xfId="0" applyBorder="1" applyAlignment="1">
      <alignment wrapText="1"/>
    </xf>
    <xf numFmtId="0" fontId="0" fillId="0" borderId="21" xfId="0" quotePrefix="1" applyBorder="1" applyAlignment="1">
      <alignment wrapText="1"/>
    </xf>
    <xf numFmtId="0" fontId="1" fillId="0" borderId="22" xfId="2" applyFont="1" applyFill="1" applyBorder="1"/>
    <xf numFmtId="0" fontId="1" fillId="0" borderId="0" xfId="2" applyFont="1" applyFill="1" applyBorder="1"/>
    <xf numFmtId="0" fontId="0" fillId="0" borderId="23" xfId="0" applyBorder="1"/>
    <xf numFmtId="3" fontId="10" fillId="0" borderId="20" xfId="0" applyNumberFormat="1" applyFont="1" applyBorder="1" applyAlignment="1">
      <alignment horizontal="left" wrapText="1"/>
    </xf>
    <xf numFmtId="3" fontId="10" fillId="0" borderId="19" xfId="0" applyNumberFormat="1" applyFont="1" applyBorder="1" applyAlignment="1">
      <alignment horizontal="left" wrapText="1"/>
    </xf>
    <xf numFmtId="0" fontId="1" fillId="0" borderId="19" xfId="0" applyFont="1" applyBorder="1"/>
    <xf numFmtId="0" fontId="1" fillId="0" borderId="0" xfId="0" quotePrefix="1" applyFont="1"/>
    <xf numFmtId="0" fontId="1" fillId="0" borderId="21" xfId="0" applyFont="1" applyBorder="1"/>
    <xf numFmtId="0" fontId="0" fillId="0" borderId="11" xfId="0" applyBorder="1"/>
    <xf numFmtId="3" fontId="10" fillId="0" borderId="22" xfId="0" applyNumberFormat="1" applyFont="1" applyBorder="1" applyAlignment="1">
      <alignment horizontal="left" wrapText="1"/>
    </xf>
    <xf numFmtId="0" fontId="0" fillId="0" borderId="24" xfId="0" applyBorder="1" applyAlignment="1">
      <alignment wrapText="1"/>
    </xf>
    <xf numFmtId="0" fontId="1" fillId="9" borderId="21" xfId="2" applyFont="1" applyBorder="1"/>
    <xf numFmtId="0" fontId="1" fillId="0" borderId="11" xfId="0" applyFont="1" applyBorder="1" applyAlignment="1">
      <alignment horizontal="center" wrapText="1"/>
    </xf>
    <xf numFmtId="0" fontId="1" fillId="0" borderId="10" xfId="0" applyFont="1" applyBorder="1" applyAlignment="1">
      <alignment horizontal="center" wrapText="1"/>
    </xf>
    <xf numFmtId="3" fontId="8" fillId="7" borderId="11" xfId="0" applyNumberFormat="1" applyFont="1" applyFill="1" applyBorder="1" applyAlignment="1">
      <alignment horizontal="left" wrapText="1"/>
    </xf>
    <xf numFmtId="4" fontId="10" fillId="3" borderId="11" xfId="0" applyNumberFormat="1" applyFont="1" applyFill="1" applyBorder="1" applyAlignment="1">
      <alignment horizontal="left" wrapText="1"/>
    </xf>
    <xf numFmtId="0" fontId="13" fillId="3" borderId="11" xfId="0" applyFont="1" applyFill="1" applyBorder="1" applyAlignment="1">
      <alignment horizontal="left" wrapText="1"/>
    </xf>
    <xf numFmtId="3" fontId="8" fillId="2" borderId="13" xfId="0" applyNumberFormat="1" applyFont="1" applyFill="1" applyBorder="1" applyAlignment="1">
      <alignment wrapText="1"/>
    </xf>
    <xf numFmtId="3" fontId="0" fillId="0" borderId="9" xfId="0" applyNumberFormat="1" applyBorder="1" applyAlignment="1">
      <alignment horizontal="right" wrapText="1"/>
    </xf>
    <xf numFmtId="3" fontId="13" fillId="3" borderId="11" xfId="0" applyNumberFormat="1" applyFont="1" applyFill="1" applyBorder="1" applyAlignment="1">
      <alignment horizontal="left" wrapText="1"/>
    </xf>
    <xf numFmtId="3" fontId="8" fillId="2" borderId="11" xfId="0" applyNumberFormat="1" applyFont="1" applyFill="1" applyBorder="1" applyAlignment="1">
      <alignment wrapText="1"/>
    </xf>
    <xf numFmtId="3" fontId="13" fillId="0" borderId="9" xfId="0" applyNumberFormat="1" applyFont="1" applyBorder="1" applyAlignment="1">
      <alignment wrapText="1"/>
    </xf>
    <xf numFmtId="3" fontId="8" fillId="0" borderId="9" xfId="0" applyNumberFormat="1" applyFont="1" applyBorder="1" applyAlignment="1">
      <alignment wrapText="1"/>
    </xf>
    <xf numFmtId="3" fontId="10" fillId="3" borderId="9" xfId="0" applyNumberFormat="1" applyFont="1" applyFill="1" applyBorder="1" applyAlignment="1">
      <alignment horizontal="left" wrapText="1"/>
    </xf>
    <xf numFmtId="3" fontId="13" fillId="3" borderId="13" xfId="0" applyNumberFormat="1" applyFont="1" applyFill="1" applyBorder="1" applyAlignment="1">
      <alignment horizontal="left" wrapText="1"/>
    </xf>
    <xf numFmtId="0" fontId="0" fillId="0" borderId="16" xfId="0" applyBorder="1" applyAlignment="1">
      <alignment horizontal="center" wrapText="1"/>
    </xf>
    <xf numFmtId="3" fontId="0" fillId="4" borderId="15" xfId="0" applyNumberFormat="1" applyFill="1" applyBorder="1" applyAlignment="1">
      <alignment wrapText="1"/>
    </xf>
    <xf numFmtId="0" fontId="5" fillId="0" borderId="0" xfId="0" applyFont="1" applyAlignment="1">
      <alignment wrapText="1"/>
    </xf>
    <xf numFmtId="0" fontId="9" fillId="0" borderId="0" xfId="0" applyFont="1" applyAlignment="1">
      <alignment wrapText="1"/>
    </xf>
    <xf numFmtId="0" fontId="24" fillId="0" borderId="0" xfId="0" applyFont="1"/>
    <xf numFmtId="3" fontId="13" fillId="0" borderId="19" xfId="0" applyNumberFormat="1" applyFont="1" applyBorder="1" applyAlignment="1">
      <alignment horizontal="left" wrapText="1"/>
    </xf>
    <xf numFmtId="0" fontId="13" fillId="0" borderId="0" xfId="0" applyFont="1" applyAlignment="1">
      <alignment horizontal="left" wrapText="1"/>
    </xf>
    <xf numFmtId="0" fontId="13" fillId="0" borderId="19" xfId="0" applyFont="1" applyBorder="1" applyAlignment="1">
      <alignment horizontal="left"/>
    </xf>
    <xf numFmtId="0" fontId="22" fillId="0" borderId="0" xfId="0" applyFont="1" applyAlignment="1">
      <alignment horizontal="center" wrapText="1"/>
    </xf>
    <xf numFmtId="0" fontId="22" fillId="0" borderId="0" xfId="0" applyFont="1" applyAlignment="1">
      <alignment horizontal="left" wrapText="1"/>
    </xf>
    <xf numFmtId="0" fontId="22" fillId="9" borderId="19" xfId="2" applyFont="1" applyBorder="1"/>
    <xf numFmtId="0" fontId="8" fillId="0" borderId="21" xfId="0" quotePrefix="1" applyFont="1" applyBorder="1" applyAlignment="1">
      <alignment wrapText="1"/>
    </xf>
    <xf numFmtId="0" fontId="22" fillId="0" borderId="0" xfId="0" applyFont="1"/>
    <xf numFmtId="3" fontId="8" fillId="0" borderId="19" xfId="0" applyNumberFormat="1" applyFont="1" applyBorder="1" applyAlignment="1">
      <alignment horizontal="left" wrapText="1"/>
    </xf>
    <xf numFmtId="0" fontId="8" fillId="0" borderId="21" xfId="0" applyFont="1" applyBorder="1" applyAlignment="1">
      <alignment wrapText="1"/>
    </xf>
    <xf numFmtId="0" fontId="8" fillId="0" borderId="17" xfId="0" applyFont="1" applyBorder="1" applyAlignment="1">
      <alignment horizontal="right" wrapText="1"/>
    </xf>
    <xf numFmtId="0" fontId="9" fillId="0" borderId="21" xfId="0" applyFont="1" applyBorder="1"/>
    <xf numFmtId="0" fontId="1" fillId="9" borderId="21" xfId="2" applyFont="1" applyBorder="1" applyAlignment="1">
      <alignment wrapText="1"/>
    </xf>
    <xf numFmtId="0" fontId="1" fillId="0" borderId="26" xfId="0" applyFont="1" applyBorder="1" applyAlignment="1">
      <alignment horizontal="center" wrapText="1"/>
    </xf>
    <xf numFmtId="0" fontId="1" fillId="0" borderId="27" xfId="0" applyFont="1" applyBorder="1" applyAlignment="1">
      <alignment horizontal="center" wrapText="1"/>
    </xf>
    <xf numFmtId="3" fontId="13" fillId="3" borderId="0" xfId="0" applyNumberFormat="1" applyFont="1" applyFill="1" applyAlignment="1">
      <alignment horizontal="right" wrapText="1"/>
    </xf>
    <xf numFmtId="0" fontId="13" fillId="3" borderId="0" xfId="0" quotePrefix="1" applyFont="1" applyFill="1"/>
    <xf numFmtId="3" fontId="13" fillId="3" borderId="20" xfId="0" applyNumberFormat="1" applyFont="1" applyFill="1" applyBorder="1" applyAlignment="1">
      <alignment horizontal="right" wrapText="1"/>
    </xf>
    <xf numFmtId="3" fontId="13" fillId="3" borderId="19" xfId="0" applyNumberFormat="1" applyFont="1" applyFill="1" applyBorder="1" applyAlignment="1">
      <alignment horizontal="right" wrapText="1"/>
    </xf>
    <xf numFmtId="0" fontId="22" fillId="9" borderId="19" xfId="2" applyFont="1" applyBorder="1" applyAlignment="1">
      <alignment wrapText="1"/>
    </xf>
    <xf numFmtId="0" fontId="1" fillId="9" borderId="19" xfId="2" applyFont="1" applyBorder="1" applyAlignment="1">
      <alignment wrapText="1"/>
    </xf>
    <xf numFmtId="0" fontId="1" fillId="0" borderId="19" xfId="2" applyFont="1" applyFill="1" applyBorder="1" applyAlignment="1">
      <alignment wrapText="1"/>
    </xf>
    <xf numFmtId="3" fontId="13" fillId="0" borderId="19" xfId="0" applyNumberFormat="1" applyFont="1" applyBorder="1" applyAlignment="1">
      <alignment horizontal="right" wrapText="1"/>
    </xf>
    <xf numFmtId="3" fontId="13" fillId="0" borderId="11" xfId="0" applyNumberFormat="1" applyFont="1" applyBorder="1" applyAlignment="1">
      <alignment wrapText="1"/>
    </xf>
    <xf numFmtId="0" fontId="26" fillId="0" borderId="9" xfId="0" applyFont="1" applyBorder="1" applyAlignment="1">
      <alignment horizontal="left" wrapText="1"/>
    </xf>
    <xf numFmtId="0" fontId="26" fillId="0" borderId="11" xfId="0" applyFont="1" applyBorder="1" applyAlignment="1">
      <alignment horizontal="left" wrapText="1"/>
    </xf>
    <xf numFmtId="0" fontId="14" fillId="0" borderId="11" xfId="0" applyFont="1" applyBorder="1" applyAlignment="1">
      <alignment horizontal="center" wrapText="1"/>
    </xf>
    <xf numFmtId="0" fontId="13" fillId="0" borderId="11" xfId="0" applyFont="1" applyBorder="1" applyAlignment="1">
      <alignment wrapText="1"/>
    </xf>
    <xf numFmtId="0" fontId="26" fillId="0" borderId="11" xfId="0" applyFont="1" applyBorder="1"/>
    <xf numFmtId="0" fontId="13" fillId="0" borderId="11" xfId="0" applyFont="1" applyBorder="1"/>
    <xf numFmtId="3" fontId="8" fillId="4" borderId="13" xfId="0" applyNumberFormat="1" applyFont="1" applyFill="1" applyBorder="1" applyAlignment="1">
      <alignment wrapText="1"/>
    </xf>
    <xf numFmtId="3" fontId="27" fillId="0" borderId="0" xfId="0" applyNumberFormat="1" applyFont="1" applyAlignment="1">
      <alignment wrapText="1"/>
    </xf>
    <xf numFmtId="164" fontId="27" fillId="0" borderId="0" xfId="0" applyNumberFormat="1" applyFont="1" applyAlignment="1">
      <alignment wrapText="1"/>
    </xf>
    <xf numFmtId="3" fontId="17" fillId="0" borderId="0" xfId="0" applyNumberFormat="1" applyFont="1" applyAlignment="1">
      <alignment wrapText="1"/>
    </xf>
    <xf numFmtId="164" fontId="17" fillId="0" borderId="0" xfId="0" applyNumberFormat="1" applyFont="1" applyAlignment="1">
      <alignment wrapText="1"/>
    </xf>
    <xf numFmtId="0" fontId="17" fillId="0" borderId="0" xfId="0" applyFont="1" applyAlignment="1">
      <alignment vertical="center"/>
    </xf>
    <xf numFmtId="0" fontId="22" fillId="0" borderId="0" xfId="0" applyFont="1" applyAlignment="1">
      <alignment wrapText="1"/>
    </xf>
    <xf numFmtId="1" fontId="22" fillId="0" borderId="0" xfId="0" applyNumberFormat="1" applyFont="1" applyAlignment="1">
      <alignment wrapText="1"/>
    </xf>
    <xf numFmtId="0" fontId="12" fillId="0" borderId="31" xfId="0" applyFont="1" applyBorder="1"/>
    <xf numFmtId="0" fontId="1" fillId="0" borderId="28" xfId="0" applyFont="1" applyBorder="1" applyAlignment="1">
      <alignment wrapText="1"/>
    </xf>
    <xf numFmtId="0" fontId="0" fillId="0" borderId="28" xfId="0" applyBorder="1" applyAlignment="1">
      <alignment wrapText="1"/>
    </xf>
    <xf numFmtId="0" fontId="17" fillId="0" borderId="28" xfId="0" applyFont="1" applyBorder="1" applyAlignment="1">
      <alignment vertical="center"/>
    </xf>
    <xf numFmtId="0" fontId="0" fillId="0" borderId="18" xfId="0" applyBorder="1" applyAlignment="1">
      <alignment wrapText="1"/>
    </xf>
    <xf numFmtId="0" fontId="0" fillId="0" borderId="32" xfId="0" applyBorder="1" applyAlignment="1">
      <alignment wrapText="1"/>
    </xf>
    <xf numFmtId="0" fontId="8" fillId="0" borderId="8" xfId="0" applyFont="1" applyBorder="1" applyAlignment="1">
      <alignment horizontal="left" wrapText="1"/>
    </xf>
    <xf numFmtId="0" fontId="0" fillId="0" borderId="37" xfId="0" applyBorder="1" applyAlignment="1">
      <alignment wrapText="1"/>
    </xf>
    <xf numFmtId="0" fontId="22" fillId="0" borderId="39" xfId="0" applyFont="1" applyBorder="1" applyAlignment="1">
      <alignment wrapText="1"/>
    </xf>
    <xf numFmtId="1" fontId="22" fillId="0" borderId="39" xfId="0" applyNumberFormat="1" applyFont="1" applyBorder="1" applyAlignment="1">
      <alignment wrapText="1"/>
    </xf>
    <xf numFmtId="1" fontId="22" fillId="0" borderId="40" xfId="0" applyNumberFormat="1" applyFont="1" applyBorder="1" applyAlignment="1">
      <alignment wrapText="1"/>
    </xf>
    <xf numFmtId="0" fontId="1" fillId="0" borderId="41" xfId="0" applyFont="1" applyBorder="1" applyAlignment="1">
      <alignment horizontal="center" wrapText="1"/>
    </xf>
    <xf numFmtId="1" fontId="22" fillId="0" borderId="5" xfId="0" applyNumberFormat="1" applyFont="1" applyBorder="1" applyAlignment="1">
      <alignment wrapText="1"/>
    </xf>
    <xf numFmtId="0" fontId="1" fillId="0" borderId="18" xfId="0" applyFont="1" applyBorder="1" applyAlignment="1">
      <alignment wrapText="1"/>
    </xf>
    <xf numFmtId="0" fontId="22" fillId="0" borderId="17" xfId="0" applyFont="1" applyBorder="1" applyAlignment="1">
      <alignment wrapText="1"/>
    </xf>
    <xf numFmtId="0" fontId="22" fillId="0" borderId="25" xfId="0" applyFont="1" applyBorder="1" applyAlignment="1">
      <alignment horizontal="center" wrapText="1"/>
    </xf>
    <xf numFmtId="0" fontId="5" fillId="0" borderId="42" xfId="0" applyFont="1" applyBorder="1" applyAlignment="1">
      <alignment wrapText="1"/>
    </xf>
    <xf numFmtId="0" fontId="22" fillId="0" borderId="1" xfId="0" applyFont="1" applyBorder="1" applyAlignment="1">
      <alignment wrapText="1"/>
    </xf>
    <xf numFmtId="0" fontId="22" fillId="0" borderId="13" xfId="0" applyFont="1" applyBorder="1" applyAlignment="1">
      <alignment wrapText="1"/>
    </xf>
    <xf numFmtId="0" fontId="22" fillId="0" borderId="11" xfId="0" applyFont="1" applyBorder="1" applyAlignment="1">
      <alignment wrapText="1"/>
    </xf>
    <xf numFmtId="1" fontId="22" fillId="0" borderId="11" xfId="0" applyNumberFormat="1" applyFont="1" applyBorder="1" applyAlignment="1">
      <alignment wrapText="1"/>
    </xf>
    <xf numFmtId="1" fontId="22" fillId="0" borderId="36" xfId="0" applyNumberFormat="1" applyFont="1" applyBorder="1" applyAlignment="1">
      <alignment wrapText="1"/>
    </xf>
    <xf numFmtId="0" fontId="0" fillId="0" borderId="10" xfId="0" applyBorder="1" applyAlignment="1">
      <alignment wrapText="1"/>
    </xf>
    <xf numFmtId="0" fontId="12" fillId="0" borderId="7" xfId="0" applyFont="1" applyBorder="1" applyAlignment="1">
      <alignment horizontal="right" wrapText="1"/>
    </xf>
    <xf numFmtId="14" fontId="28" fillId="3" borderId="9" xfId="0" applyNumberFormat="1" applyFont="1" applyFill="1" applyBorder="1" applyAlignment="1">
      <alignment horizontal="right"/>
    </xf>
    <xf numFmtId="0" fontId="12" fillId="0" borderId="12" xfId="0" applyFont="1" applyBorder="1" applyAlignment="1">
      <alignment horizontal="right" wrapText="1"/>
    </xf>
    <xf numFmtId="0" fontId="28" fillId="3" borderId="13" xfId="0" applyFont="1" applyFill="1" applyBorder="1" applyAlignment="1">
      <alignment horizontal="right"/>
    </xf>
    <xf numFmtId="0" fontId="8" fillId="0" borderId="8" xfId="0" applyFont="1" applyBorder="1" applyAlignment="1">
      <alignment wrapText="1"/>
    </xf>
    <xf numFmtId="0" fontId="22" fillId="0" borderId="33" xfId="0" applyFont="1" applyBorder="1" applyAlignment="1">
      <alignment wrapText="1"/>
    </xf>
    <xf numFmtId="0" fontId="22" fillId="0" borderId="1" xfId="0" applyFont="1" applyBorder="1" applyAlignment="1">
      <alignment horizontal="center" wrapText="1"/>
    </xf>
    <xf numFmtId="0" fontId="22" fillId="0" borderId="13" xfId="0" applyFont="1" applyBorder="1" applyAlignment="1">
      <alignment horizontal="center" wrapText="1"/>
    </xf>
    <xf numFmtId="0" fontId="22" fillId="0" borderId="30" xfId="0" applyFont="1" applyBorder="1" applyAlignment="1">
      <alignment horizontal="center" wrapText="1"/>
    </xf>
    <xf numFmtId="0" fontId="22" fillId="0" borderId="34" xfId="0" applyFont="1" applyBorder="1" applyAlignment="1">
      <alignment wrapText="1"/>
    </xf>
    <xf numFmtId="2" fontId="22" fillId="6" borderId="11" xfId="0" applyNumberFormat="1" applyFont="1" applyFill="1" applyBorder="1" applyAlignment="1">
      <alignment horizontal="right" wrapText="1"/>
    </xf>
    <xf numFmtId="2" fontId="22" fillId="6" borderId="3" xfId="0" applyNumberFormat="1" applyFont="1" applyFill="1" applyBorder="1" applyAlignment="1">
      <alignment horizontal="right" wrapText="1"/>
    </xf>
    <xf numFmtId="2" fontId="22" fillId="6" borderId="11" xfId="0" applyNumberFormat="1" applyFont="1" applyFill="1" applyBorder="1" applyAlignment="1">
      <alignment wrapText="1"/>
    </xf>
    <xf numFmtId="2" fontId="22" fillId="6" borderId="3" xfId="0" applyNumberFormat="1" applyFont="1" applyFill="1" applyBorder="1" applyAlignment="1">
      <alignment wrapText="1"/>
    </xf>
    <xf numFmtId="0" fontId="22" fillId="0" borderId="35" xfId="0" applyFont="1" applyBorder="1" applyAlignment="1">
      <alignment wrapText="1"/>
    </xf>
    <xf numFmtId="0" fontId="22" fillId="0" borderId="5" xfId="0" applyFont="1" applyBorder="1" applyAlignment="1">
      <alignment horizontal="center" wrapText="1"/>
    </xf>
    <xf numFmtId="9" fontId="22" fillId="6" borderId="36" xfId="1" applyFont="1" applyFill="1" applyBorder="1" applyAlignment="1">
      <alignment wrapText="1"/>
    </xf>
    <xf numFmtId="9" fontId="22" fillId="6" borderId="6" xfId="1" applyFont="1" applyFill="1" applyBorder="1" applyAlignment="1">
      <alignment wrapText="1"/>
    </xf>
    <xf numFmtId="0" fontId="29" fillId="0" borderId="0" xfId="0" applyFont="1"/>
    <xf numFmtId="0" fontId="25" fillId="0" borderId="0" xfId="0" applyFont="1" applyAlignment="1">
      <alignment wrapText="1"/>
    </xf>
    <xf numFmtId="0" fontId="22" fillId="0" borderId="16" xfId="0" applyFont="1" applyBorder="1" applyAlignment="1">
      <alignment horizontal="center" wrapText="1"/>
    </xf>
    <xf numFmtId="0" fontId="8" fillId="0" borderId="7" xfId="0" applyFont="1" applyBorder="1" applyAlignment="1">
      <alignment horizontal="center" wrapText="1"/>
    </xf>
    <xf numFmtId="0" fontId="8" fillId="0" borderId="10" xfId="0" applyFont="1" applyBorder="1" applyAlignment="1">
      <alignment horizontal="center" wrapText="1"/>
    </xf>
    <xf numFmtId="0" fontId="8" fillId="0" borderId="12"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wrapText="1"/>
    </xf>
    <xf numFmtId="0" fontId="22" fillId="0" borderId="35" xfId="0" applyFont="1" applyBorder="1" applyAlignment="1">
      <alignment horizontal="left" wrapText="1"/>
    </xf>
    <xf numFmtId="2" fontId="22" fillId="6" borderId="6" xfId="0" applyNumberFormat="1" applyFont="1" applyFill="1" applyBorder="1" applyAlignment="1">
      <alignment horizontal="right" wrapText="1"/>
    </xf>
    <xf numFmtId="0" fontId="22" fillId="0" borderId="7" xfId="0" applyFont="1" applyBorder="1" applyAlignment="1">
      <alignment horizontal="center" wrapText="1"/>
    </xf>
    <xf numFmtId="0" fontId="22" fillId="0" borderId="8" xfId="0" applyFont="1" applyBorder="1" applyAlignment="1">
      <alignment wrapText="1"/>
    </xf>
    <xf numFmtId="0" fontId="8" fillId="0" borderId="1" xfId="0" applyFont="1" applyBorder="1" applyAlignment="1">
      <alignment horizontal="left" wrapText="1"/>
    </xf>
    <xf numFmtId="0" fontId="8" fillId="0" borderId="1" xfId="0" applyFont="1" applyBorder="1" applyAlignment="1">
      <alignment horizontal="center" wrapText="1"/>
    </xf>
    <xf numFmtId="4" fontId="13" fillId="3" borderId="11" xfId="0" applyNumberFormat="1" applyFont="1" applyFill="1" applyBorder="1" applyAlignment="1">
      <alignment horizontal="left" wrapText="1"/>
    </xf>
    <xf numFmtId="0" fontId="8" fillId="0" borderId="1" xfId="0" applyFont="1" applyBorder="1" applyAlignment="1">
      <alignment wrapText="1"/>
    </xf>
    <xf numFmtId="0" fontId="22" fillId="0" borderId="3" xfId="0" applyFont="1" applyBorder="1" applyAlignment="1">
      <alignment horizontal="center" wrapText="1"/>
    </xf>
    <xf numFmtId="0" fontId="22" fillId="0" borderId="30" xfId="0" applyFont="1" applyBorder="1" applyAlignment="1">
      <alignment wrapText="1"/>
    </xf>
    <xf numFmtId="2" fontId="22" fillId="6" borderId="0" xfId="0" applyNumberFormat="1" applyFont="1" applyFill="1" applyAlignment="1">
      <alignment wrapText="1"/>
    </xf>
    <xf numFmtId="164" fontId="22" fillId="6" borderId="3" xfId="0" applyNumberFormat="1" applyFont="1" applyFill="1" applyBorder="1" applyAlignment="1">
      <alignment wrapText="1"/>
    </xf>
    <xf numFmtId="2" fontId="22" fillId="6" borderId="0" xfId="0" applyNumberFormat="1" applyFont="1" applyFill="1" applyAlignment="1">
      <alignment horizontal="right" wrapText="1"/>
    </xf>
    <xf numFmtId="164" fontId="22" fillId="6" borderId="3" xfId="0" applyNumberFormat="1" applyFont="1" applyFill="1" applyBorder="1" applyAlignment="1">
      <alignment horizontal="right" wrapText="1"/>
    </xf>
    <xf numFmtId="0" fontId="22" fillId="6" borderId="3" xfId="0" applyFont="1" applyFill="1" applyBorder="1" applyAlignment="1">
      <alignment wrapText="1"/>
    </xf>
    <xf numFmtId="2" fontId="22" fillId="6" borderId="5" xfId="0" applyNumberFormat="1" applyFont="1" applyFill="1" applyBorder="1" applyAlignment="1">
      <alignment wrapText="1"/>
    </xf>
    <xf numFmtId="164" fontId="22" fillId="6" borderId="6" xfId="0" applyNumberFormat="1" applyFont="1" applyFill="1" applyBorder="1" applyAlignment="1">
      <alignment wrapText="1"/>
    </xf>
    <xf numFmtId="0" fontId="23" fillId="0" borderId="0" xfId="0" applyFont="1" applyAlignment="1">
      <alignment wrapText="1"/>
    </xf>
    <xf numFmtId="0" fontId="23" fillId="0" borderId="8" xfId="0" applyFont="1" applyBorder="1" applyAlignment="1">
      <alignment horizontal="left" wrapText="1"/>
    </xf>
    <xf numFmtId="0" fontId="22" fillId="0" borderId="10" xfId="0" applyFont="1" applyBorder="1" applyAlignment="1">
      <alignment horizontal="center" wrapText="1"/>
    </xf>
    <xf numFmtId="0" fontId="22" fillId="0" borderId="16" xfId="0" applyFont="1" applyBorder="1" applyAlignment="1">
      <alignment wrapText="1"/>
    </xf>
    <xf numFmtId="165" fontId="8" fillId="4" borderId="11" xfId="0" applyNumberFormat="1" applyFont="1" applyFill="1" applyBorder="1" applyAlignment="1">
      <alignment horizontal="right" wrapText="1"/>
    </xf>
    <xf numFmtId="164" fontId="8" fillId="4" borderId="13" xfId="0" applyNumberFormat="1" applyFont="1" applyFill="1" applyBorder="1" applyAlignment="1">
      <alignment horizontal="right" wrapText="1"/>
    </xf>
    <xf numFmtId="2" fontId="13" fillId="3" borderId="11" xfId="0" applyNumberFormat="1" applyFont="1" applyFill="1" applyBorder="1" applyAlignment="1">
      <alignment horizontal="left" wrapText="1"/>
    </xf>
    <xf numFmtId="0" fontId="8" fillId="0" borderId="34" xfId="0" applyFont="1" applyBorder="1" applyAlignment="1">
      <alignment wrapText="1"/>
    </xf>
    <xf numFmtId="0" fontId="8" fillId="0" borderId="11" xfId="0" applyFont="1" applyBorder="1" applyAlignment="1">
      <alignment wrapText="1"/>
    </xf>
    <xf numFmtId="0" fontId="22" fillId="0" borderId="11" xfId="0" applyFont="1" applyBorder="1" applyAlignment="1">
      <alignment horizontal="center" wrapText="1"/>
    </xf>
    <xf numFmtId="2" fontId="22" fillId="6" borderId="36" xfId="0" applyNumberFormat="1" applyFont="1" applyFill="1" applyBorder="1" applyAlignment="1">
      <alignment wrapText="1"/>
    </xf>
    <xf numFmtId="2" fontId="22" fillId="6" borderId="6" xfId="0" applyNumberFormat="1" applyFont="1" applyFill="1" applyBorder="1" applyAlignment="1">
      <alignment wrapText="1"/>
    </xf>
    <xf numFmtId="49" fontId="1" fillId="3" borderId="44" xfId="0" applyNumberFormat="1" applyFont="1" applyFill="1" applyBorder="1"/>
    <xf numFmtId="49" fontId="1" fillId="3" borderId="45" xfId="0" applyNumberFormat="1" applyFont="1" applyFill="1" applyBorder="1"/>
    <xf numFmtId="0" fontId="1" fillId="4" borderId="2" xfId="0" applyFont="1" applyFill="1" applyBorder="1"/>
    <xf numFmtId="0" fontId="1" fillId="4" borderId="3" xfId="0" applyFont="1" applyFill="1" applyBorder="1"/>
    <xf numFmtId="0" fontId="1" fillId="6" borderId="2" xfId="0" applyFont="1" applyFill="1" applyBorder="1"/>
    <xf numFmtId="0" fontId="1" fillId="6" borderId="3" xfId="0" applyFont="1" applyFill="1" applyBorder="1"/>
    <xf numFmtId="0" fontId="1" fillId="2" borderId="2" xfId="0" applyFont="1" applyFill="1" applyBorder="1"/>
    <xf numFmtId="0" fontId="1" fillId="2" borderId="3" xfId="0" applyFont="1" applyFill="1" applyBorder="1"/>
    <xf numFmtId="0" fontId="1" fillId="7" borderId="2" xfId="0" applyFont="1" applyFill="1" applyBorder="1"/>
    <xf numFmtId="0" fontId="1" fillId="7" borderId="3" xfId="0" applyFont="1" applyFill="1" applyBorder="1"/>
    <xf numFmtId="0" fontId="1" fillId="9" borderId="4" xfId="2" applyFont="1" applyBorder="1"/>
    <xf numFmtId="0" fontId="1" fillId="9" borderId="6" xfId="2" applyFont="1" applyBorder="1"/>
    <xf numFmtId="0" fontId="12" fillId="0" borderId="0" xfId="0" applyFont="1" applyAlignment="1">
      <alignment horizontal="right" wrapText="1"/>
    </xf>
    <xf numFmtId="0" fontId="31" fillId="0" borderId="0" xfId="0" applyFont="1" applyAlignment="1">
      <alignment wrapText="1"/>
    </xf>
    <xf numFmtId="0" fontId="22" fillId="0" borderId="38" xfId="0" applyFont="1" applyBorder="1" applyAlignment="1">
      <alignment horizontal="center" wrapText="1"/>
    </xf>
    <xf numFmtId="0" fontId="28" fillId="8" borderId="14" xfId="0" applyFont="1" applyFill="1" applyBorder="1" applyAlignment="1">
      <alignment horizontal="left"/>
    </xf>
    <xf numFmtId="3" fontId="10" fillId="5" borderId="0" xfId="0" applyNumberFormat="1" applyFont="1" applyFill="1" applyAlignment="1">
      <alignment horizontal="left" wrapText="1"/>
    </xf>
    <xf numFmtId="0" fontId="1" fillId="5" borderId="0" xfId="0" applyFont="1" applyFill="1"/>
    <xf numFmtId="0" fontId="12" fillId="0" borderId="16" xfId="0" applyFont="1" applyBorder="1" applyAlignment="1">
      <alignment horizontal="right" wrapText="1"/>
    </xf>
    <xf numFmtId="14" fontId="29" fillId="0" borderId="15" xfId="0" applyNumberFormat="1" applyFont="1" applyBorder="1"/>
    <xf numFmtId="0" fontId="28" fillId="0" borderId="0" xfId="0" applyFont="1" applyAlignment="1">
      <alignment horizontal="right"/>
    </xf>
    <xf numFmtId="3" fontId="10" fillId="3" borderId="13" xfId="0" applyNumberFormat="1" applyFont="1" applyFill="1" applyBorder="1" applyAlignment="1">
      <alignment horizontal="left" wrapText="1"/>
    </xf>
    <xf numFmtId="0" fontId="22" fillId="0" borderId="32" xfId="0" applyFont="1" applyBorder="1" applyAlignment="1">
      <alignment wrapText="1"/>
    </xf>
    <xf numFmtId="0" fontId="8" fillId="0" borderId="32" xfId="0" applyFont="1" applyBorder="1" applyAlignment="1">
      <alignment wrapText="1"/>
    </xf>
    <xf numFmtId="0" fontId="8" fillId="0" borderId="37" xfId="0" applyFont="1" applyBorder="1" applyAlignment="1">
      <alignment wrapText="1"/>
    </xf>
    <xf numFmtId="0" fontId="22" fillId="0" borderId="38" xfId="0" applyFont="1" applyBorder="1" applyAlignment="1">
      <alignment wrapText="1"/>
    </xf>
    <xf numFmtId="0" fontId="8" fillId="0" borderId="0" xfId="0" applyFont="1" applyAlignment="1">
      <alignment horizontal="center" wrapText="1"/>
    </xf>
    <xf numFmtId="0" fontId="30" fillId="0" borderId="43" xfId="0" applyFont="1" applyBorder="1" applyAlignment="1">
      <alignment horizontal="left" wrapText="1"/>
    </xf>
    <xf numFmtId="0" fontId="30" fillId="0" borderId="8" xfId="0" applyFont="1" applyBorder="1" applyAlignment="1">
      <alignment horizontal="left" wrapText="1"/>
    </xf>
    <xf numFmtId="0" fontId="30" fillId="0" borderId="41" xfId="0" applyFont="1" applyBorder="1" applyAlignment="1">
      <alignment horizontal="left" wrapText="1"/>
    </xf>
    <xf numFmtId="0" fontId="30" fillId="0" borderId="29" xfId="0" applyFont="1" applyBorder="1" applyAlignment="1">
      <alignment wrapText="1"/>
    </xf>
    <xf numFmtId="0" fontId="8" fillId="0" borderId="1" xfId="0" applyFont="1" applyBorder="1" applyAlignment="1">
      <alignment wrapText="1"/>
    </xf>
    <xf numFmtId="0" fontId="8" fillId="0" borderId="30" xfId="0" applyFont="1" applyBorder="1" applyAlignment="1">
      <alignment wrapText="1"/>
    </xf>
    <xf numFmtId="0" fontId="1" fillId="0" borderId="43" xfId="0" applyFont="1" applyBorder="1" applyAlignment="1">
      <alignment wrapText="1"/>
    </xf>
    <xf numFmtId="0" fontId="0" fillId="0" borderId="8" xfId="0" applyBorder="1" applyAlignment="1">
      <alignment wrapText="1"/>
    </xf>
    <xf numFmtId="0" fontId="0" fillId="0" borderId="41" xfId="0" applyBorder="1" applyAlignment="1">
      <alignment wrapText="1"/>
    </xf>
    <xf numFmtId="0" fontId="22" fillId="0" borderId="29" xfId="0" applyFont="1" applyBorder="1" applyAlignment="1">
      <alignment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 xfId="0" applyFill="1" applyBorder="1" applyAlignment="1">
      <alignment horizontal="left" vertical="top" wrapText="1"/>
    </xf>
    <xf numFmtId="0" fontId="0" fillId="3" borderId="13" xfId="0" applyFill="1" applyBorder="1" applyAlignment="1">
      <alignment horizontal="left" vertical="top"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3" xfId="0" applyFont="1" applyFill="1" applyBorder="1" applyAlignment="1">
      <alignment horizontal="center" vertical="top" wrapText="1"/>
    </xf>
    <xf numFmtId="0" fontId="9" fillId="0" borderId="0" xfId="0" applyFont="1" applyAlignment="1">
      <alignment wrapText="1"/>
    </xf>
    <xf numFmtId="0" fontId="0" fillId="0" borderId="0" xfId="0"/>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23" fillId="0" borderId="16" xfId="0" applyFont="1" applyBorder="1" applyAlignment="1">
      <alignment wrapText="1"/>
    </xf>
    <xf numFmtId="0" fontId="0" fillId="0" borderId="17" xfId="0" applyBorder="1" applyAlignment="1">
      <alignment wrapText="1"/>
    </xf>
    <xf numFmtId="0" fontId="0" fillId="0" borderId="15" xfId="0" applyBorder="1" applyAlignment="1">
      <alignment wrapText="1"/>
    </xf>
    <xf numFmtId="0" fontId="23" fillId="0" borderId="16" xfId="0" applyFont="1" applyBorder="1" applyAlignment="1">
      <alignment horizontal="left" wrapText="1"/>
    </xf>
    <xf numFmtId="0" fontId="23" fillId="0" borderId="17" xfId="0" applyFont="1" applyBorder="1" applyAlignment="1">
      <alignment horizontal="left" wrapText="1"/>
    </xf>
    <xf numFmtId="0" fontId="23" fillId="0" borderId="15" xfId="0" applyFont="1" applyBorder="1" applyAlignment="1">
      <alignment horizontal="lef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sheetPr codeName="Sheet1"/>
  <dimension ref="A1:P202"/>
  <sheetViews>
    <sheetView tabSelected="1" topLeftCell="C44" zoomScale="85" zoomScaleNormal="85" workbookViewId="0">
      <selection activeCell="P66" sqref="P66"/>
    </sheetView>
  </sheetViews>
  <sheetFormatPr defaultColWidth="8.85546875" defaultRowHeight="15" x14ac:dyDescent="0.25"/>
  <cols>
    <col min="1" max="1" width="17.28515625" style="23" customWidth="1"/>
    <col min="2" max="2" width="19.85546875" style="2" bestFit="1" customWidth="1"/>
    <col min="3" max="3" width="76.42578125" style="2" customWidth="1"/>
    <col min="4" max="4" width="19.85546875" style="2" customWidth="1"/>
    <col min="5" max="5" width="2.5703125" style="2" customWidth="1"/>
    <col min="6" max="6" width="17" style="2" customWidth="1"/>
    <col min="7" max="7" width="18.85546875" style="2" customWidth="1"/>
    <col min="8" max="8" width="75.5703125" style="2" customWidth="1"/>
    <col min="9" max="9" width="13.42578125" style="2" bestFit="1" customWidth="1"/>
    <col min="10" max="10" width="2.7109375" style="2" customWidth="1"/>
    <col min="11" max="11" width="60" style="2" bestFit="1" customWidth="1"/>
    <col min="12" max="12" width="10.5703125" style="2" bestFit="1" customWidth="1"/>
    <col min="13" max="16384" width="8.85546875" style="2"/>
  </cols>
  <sheetData>
    <row r="1" spans="1:9" ht="21" x14ac:dyDescent="0.35">
      <c r="C1" s="254" t="s">
        <v>546</v>
      </c>
      <c r="D1" s="255">
        <v>45846</v>
      </c>
    </row>
    <row r="2" spans="1:9" ht="24" x14ac:dyDescent="0.4">
      <c r="A2" s="1" t="s">
        <v>107</v>
      </c>
    </row>
    <row r="3" spans="1:9" ht="24.75" thickBot="1" x14ac:dyDescent="0.45">
      <c r="A3" s="2"/>
      <c r="C3" s="44"/>
    </row>
    <row r="4" spans="1:9" ht="21.75" thickBot="1" x14ac:dyDescent="0.4">
      <c r="A4" s="92" t="s">
        <v>0</v>
      </c>
      <c r="B4" s="100"/>
      <c r="C4" s="251" t="s">
        <v>204</v>
      </c>
      <c r="D4" s="119"/>
      <c r="G4" s="236" t="s">
        <v>555</v>
      </c>
      <c r="H4" s="237"/>
    </row>
    <row r="5" spans="1:9" ht="21.75" thickBot="1" x14ac:dyDescent="0.4">
      <c r="A5" s="92" t="s">
        <v>413</v>
      </c>
      <c r="B5" s="100"/>
      <c r="C5" s="251" t="s">
        <v>367</v>
      </c>
      <c r="G5" s="238" t="s">
        <v>38</v>
      </c>
      <c r="H5" s="239"/>
    </row>
    <row r="6" spans="1:9" x14ac:dyDescent="0.25">
      <c r="A6" s="2"/>
      <c r="G6" s="240" t="s">
        <v>52</v>
      </c>
      <c r="H6" s="241"/>
    </row>
    <row r="7" spans="1:9" ht="21" x14ac:dyDescent="0.35">
      <c r="C7" s="181" t="s">
        <v>547</v>
      </c>
      <c r="D7" s="182" t="s">
        <v>557</v>
      </c>
      <c r="G7" s="242" t="s">
        <v>40</v>
      </c>
      <c r="H7" s="243"/>
    </row>
    <row r="8" spans="1:9" ht="21" x14ac:dyDescent="0.35">
      <c r="C8" s="183" t="s">
        <v>548</v>
      </c>
      <c r="D8" s="184" t="s">
        <v>558</v>
      </c>
      <c r="G8" s="244" t="s">
        <v>314</v>
      </c>
      <c r="H8" s="245"/>
    </row>
    <row r="9" spans="1:9" ht="21.75" thickBot="1" x14ac:dyDescent="0.4">
      <c r="C9" s="248"/>
      <c r="D9" s="256"/>
      <c r="G9" s="246" t="s">
        <v>362</v>
      </c>
      <c r="H9" s="247"/>
    </row>
    <row r="10" spans="1:9" ht="32.25" customHeight="1" x14ac:dyDescent="0.25">
      <c r="A10" s="291" t="s">
        <v>556</v>
      </c>
      <c r="B10" s="292"/>
      <c r="C10" s="292"/>
      <c r="D10" s="292"/>
      <c r="E10" s="292"/>
      <c r="F10" s="292"/>
      <c r="G10" s="91"/>
      <c r="H10" s="91"/>
      <c r="I10" s="249"/>
    </row>
    <row r="11" spans="1:9" x14ac:dyDescent="0.25">
      <c r="A11" s="118"/>
      <c r="B11"/>
      <c r="C11"/>
      <c r="D11"/>
      <c r="E11"/>
      <c r="F11"/>
      <c r="G11" s="91"/>
      <c r="H11" s="91"/>
      <c r="I11" s="249"/>
    </row>
    <row r="12" spans="1:9" ht="21" x14ac:dyDescent="0.35">
      <c r="A12" s="5" t="s">
        <v>351</v>
      </c>
      <c r="G12" s="84"/>
    </row>
    <row r="13" spans="1:9" x14ac:dyDescent="0.25">
      <c r="A13" s="25" t="s">
        <v>350</v>
      </c>
      <c r="B13" s="26"/>
      <c r="C13" s="26" t="s">
        <v>42</v>
      </c>
      <c r="D13" s="86"/>
      <c r="E13" s="86"/>
      <c r="F13" s="86" t="s">
        <v>349</v>
      </c>
      <c r="G13" s="86" t="s">
        <v>426</v>
      </c>
      <c r="H13" s="65" t="s">
        <v>356</v>
      </c>
    </row>
    <row r="14" spans="1:9" ht="30" x14ac:dyDescent="0.25">
      <c r="A14" s="2" t="s">
        <v>345</v>
      </c>
      <c r="B14" s="2" t="s">
        <v>424</v>
      </c>
      <c r="C14" s="2" t="s">
        <v>425</v>
      </c>
      <c r="D14" s="132" t="s">
        <v>466</v>
      </c>
      <c r="E14" s="133"/>
      <c r="F14" s="136">
        <v>50</v>
      </c>
      <c r="G14" s="125" t="s">
        <v>470</v>
      </c>
      <c r="H14" s="144" t="s">
        <v>467</v>
      </c>
    </row>
    <row r="15" spans="1:9" ht="30" x14ac:dyDescent="0.25">
      <c r="A15" s="2" t="s">
        <v>345</v>
      </c>
      <c r="B15" s="2" t="s">
        <v>424</v>
      </c>
      <c r="C15" s="2" t="s">
        <v>425</v>
      </c>
      <c r="D15" s="132" t="s">
        <v>468</v>
      </c>
      <c r="E15" s="134"/>
      <c r="F15" s="136">
        <v>20</v>
      </c>
      <c r="G15" s="96" t="s">
        <v>470</v>
      </c>
      <c r="H15" s="145" t="s">
        <v>467</v>
      </c>
    </row>
    <row r="16" spans="1:9" ht="30" x14ac:dyDescent="0.25">
      <c r="A16" s="2" t="s">
        <v>345</v>
      </c>
      <c r="B16" s="2" t="s">
        <v>424</v>
      </c>
      <c r="C16" s="2" t="s">
        <v>425</v>
      </c>
      <c r="D16" s="132" t="s">
        <v>469</v>
      </c>
      <c r="E16" s="134"/>
      <c r="F16" s="136">
        <v>30</v>
      </c>
      <c r="G16" s="96" t="s">
        <v>470</v>
      </c>
      <c r="H16" s="145" t="s">
        <v>467</v>
      </c>
    </row>
    <row r="17" spans="1:8" x14ac:dyDescent="0.25">
      <c r="A17" s="4"/>
      <c r="B17" s="4"/>
      <c r="C17" s="4"/>
      <c r="D17" s="24"/>
      <c r="E17" s="24"/>
      <c r="F17" s="24"/>
      <c r="G17" s="24"/>
      <c r="H17" s="146"/>
    </row>
    <row r="18" spans="1:8" ht="30" x14ac:dyDescent="0.25">
      <c r="A18" s="20" t="s">
        <v>345</v>
      </c>
      <c r="B18" s="20" t="s">
        <v>429</v>
      </c>
      <c r="C18" s="20" t="s">
        <v>433</v>
      </c>
      <c r="D18" s="132" t="s">
        <v>471</v>
      </c>
      <c r="E18" s="123"/>
      <c r="F18" s="135">
        <v>400000</v>
      </c>
      <c r="G18" s="124" t="s">
        <v>30</v>
      </c>
      <c r="H18" s="145"/>
    </row>
    <row r="19" spans="1:8" x14ac:dyDescent="0.25">
      <c r="A19" s="14"/>
      <c r="B19" s="14"/>
      <c r="C19" s="14"/>
      <c r="D19" s="117"/>
      <c r="E19" s="24"/>
      <c r="F19" s="121"/>
      <c r="G19" s="34"/>
      <c r="H19" s="145"/>
    </row>
    <row r="20" spans="1:8" ht="45" x14ac:dyDescent="0.25">
      <c r="A20" s="2" t="s">
        <v>345</v>
      </c>
      <c r="B20" s="2" t="s">
        <v>360</v>
      </c>
      <c r="C20" s="2" t="s">
        <v>365</v>
      </c>
      <c r="D20" s="101" t="s">
        <v>472</v>
      </c>
      <c r="E20" s="88"/>
      <c r="F20" s="137">
        <v>300000</v>
      </c>
      <c r="G20" s="84" t="s">
        <v>30</v>
      </c>
      <c r="H20" s="147"/>
    </row>
    <row r="21" spans="1:8" ht="45" x14ac:dyDescent="0.25">
      <c r="A21" s="2" t="s">
        <v>345</v>
      </c>
      <c r="B21" s="2" t="s">
        <v>360</v>
      </c>
      <c r="C21" s="2" t="s">
        <v>365</v>
      </c>
      <c r="D21" s="101" t="s">
        <v>473</v>
      </c>
      <c r="E21" s="88"/>
      <c r="F21" s="137">
        <v>100000</v>
      </c>
      <c r="G21" s="84" t="s">
        <v>30</v>
      </c>
      <c r="H21" s="147"/>
    </row>
    <row r="22" spans="1:8" x14ac:dyDescent="0.25">
      <c r="A22" s="2"/>
      <c r="D22" s="93"/>
      <c r="E22" s="88"/>
      <c r="F22" s="120"/>
      <c r="G22" s="84"/>
      <c r="H22" s="147"/>
    </row>
    <row r="23" spans="1:8" ht="30" x14ac:dyDescent="0.25">
      <c r="A23" s="2" t="s">
        <v>345</v>
      </c>
      <c r="B23" s="2" t="s">
        <v>348</v>
      </c>
      <c r="C23" s="2" t="s">
        <v>347</v>
      </c>
      <c r="D23" s="87" t="s">
        <v>474</v>
      </c>
      <c r="E23" s="88"/>
      <c r="F23" s="96" t="s">
        <v>346</v>
      </c>
      <c r="G23" s="96" t="s">
        <v>346</v>
      </c>
      <c r="H23" s="147"/>
    </row>
    <row r="24" spans="1:8" x14ac:dyDescent="0.25">
      <c r="A24" s="2"/>
      <c r="D24" s="95"/>
      <c r="E24" s="88"/>
      <c r="F24" s="96"/>
      <c r="G24" s="96"/>
      <c r="H24" s="147"/>
    </row>
    <row r="25" spans="1:8" x14ac:dyDescent="0.25">
      <c r="A25" s="2" t="s">
        <v>345</v>
      </c>
      <c r="B25" s="2" t="s">
        <v>344</v>
      </c>
      <c r="C25" s="2" t="s">
        <v>352</v>
      </c>
      <c r="D25" s="95"/>
      <c r="E25" s="88"/>
      <c r="F25" s="138">
        <v>40</v>
      </c>
      <c r="G25" s="96" t="s">
        <v>346</v>
      </c>
      <c r="H25" s="147"/>
    </row>
    <row r="26" spans="1:8" ht="30" x14ac:dyDescent="0.25">
      <c r="A26" s="20" t="s">
        <v>345</v>
      </c>
      <c r="B26" s="20" t="s">
        <v>442</v>
      </c>
      <c r="C26" s="20" t="s">
        <v>443</v>
      </c>
      <c r="D26" s="139" t="s">
        <v>475</v>
      </c>
      <c r="E26" s="131"/>
      <c r="F26" s="138">
        <v>20</v>
      </c>
      <c r="G26" s="127" t="s">
        <v>444</v>
      </c>
      <c r="H26" s="145" t="s">
        <v>476</v>
      </c>
    </row>
    <row r="27" spans="1:8" x14ac:dyDescent="0.25">
      <c r="A27" s="2"/>
      <c r="D27" s="95"/>
      <c r="E27" s="97"/>
      <c r="F27" s="122"/>
      <c r="G27" s="84"/>
      <c r="H27" s="147"/>
    </row>
    <row r="28" spans="1:8" ht="45" x14ac:dyDescent="0.25">
      <c r="A28" s="2" t="s">
        <v>343</v>
      </c>
      <c r="B28" s="2" t="s">
        <v>353</v>
      </c>
      <c r="C28" s="2" t="s">
        <v>366</v>
      </c>
      <c r="D28" s="140" t="s">
        <v>477</v>
      </c>
      <c r="E28" s="89"/>
      <c r="F28" s="138">
        <v>200000</v>
      </c>
      <c r="G28" s="84" t="s">
        <v>205</v>
      </c>
      <c r="H28" s="148"/>
    </row>
    <row r="29" spans="1:8" ht="45" x14ac:dyDescent="0.25">
      <c r="A29" s="2" t="s">
        <v>343</v>
      </c>
      <c r="B29" s="2" t="s">
        <v>353</v>
      </c>
      <c r="C29" s="2" t="s">
        <v>366</v>
      </c>
      <c r="D29" s="140" t="s">
        <v>478</v>
      </c>
      <c r="E29" s="89"/>
      <c r="F29" s="138">
        <v>170000</v>
      </c>
      <c r="G29" s="84" t="s">
        <v>205</v>
      </c>
      <c r="H29" s="148"/>
    </row>
    <row r="30" spans="1:8" x14ac:dyDescent="0.25">
      <c r="A30" s="2"/>
      <c r="D30" s="141"/>
      <c r="E30" s="89"/>
      <c r="F30" s="142"/>
      <c r="G30" s="84"/>
      <c r="H30" s="148"/>
    </row>
    <row r="31" spans="1:8" ht="45" x14ac:dyDescent="0.25">
      <c r="A31" s="20" t="s">
        <v>343</v>
      </c>
      <c r="B31" s="20" t="s">
        <v>428</v>
      </c>
      <c r="C31" s="20" t="s">
        <v>434</v>
      </c>
      <c r="D31" s="87" t="s">
        <v>479</v>
      </c>
      <c r="E31" s="126"/>
      <c r="F31" s="138">
        <v>30000</v>
      </c>
      <c r="G31" s="127" t="s">
        <v>205</v>
      </c>
      <c r="H31" s="148"/>
    </row>
    <row r="32" spans="1:8" x14ac:dyDescent="0.25">
      <c r="A32" s="20"/>
      <c r="B32" s="20"/>
      <c r="C32" s="20"/>
      <c r="D32" s="128"/>
      <c r="E32" s="129"/>
      <c r="F32" s="128"/>
      <c r="G32" s="127"/>
      <c r="H32" s="147"/>
    </row>
    <row r="33" spans="1:16" ht="30" x14ac:dyDescent="0.25">
      <c r="A33" s="2" t="s">
        <v>342</v>
      </c>
      <c r="B33" s="2" t="s">
        <v>361</v>
      </c>
      <c r="C33" s="2" t="s">
        <v>559</v>
      </c>
      <c r="D33" s="87" t="s">
        <v>484</v>
      </c>
      <c r="E33" s="88"/>
      <c r="F33" s="138">
        <v>1</v>
      </c>
      <c r="G33" s="96" t="s">
        <v>346</v>
      </c>
      <c r="H33" s="147"/>
    </row>
    <row r="34" spans="1:16" ht="30" x14ac:dyDescent="0.25">
      <c r="A34" s="2" t="s">
        <v>342</v>
      </c>
      <c r="B34" s="2" t="s">
        <v>361</v>
      </c>
      <c r="C34" s="2" t="s">
        <v>559</v>
      </c>
      <c r="D34" s="87" t="s">
        <v>480</v>
      </c>
      <c r="E34" s="88"/>
      <c r="F34" s="138">
        <v>1</v>
      </c>
      <c r="G34" s="96" t="s">
        <v>346</v>
      </c>
      <c r="H34" s="147"/>
    </row>
    <row r="35" spans="1:16" x14ac:dyDescent="0.25">
      <c r="A35" s="2"/>
      <c r="C35" s="17"/>
      <c r="D35" s="94"/>
      <c r="E35" s="88"/>
      <c r="F35" s="120"/>
      <c r="G35" s="84"/>
      <c r="H35" s="147"/>
    </row>
    <row r="36" spans="1:16" ht="30" x14ac:dyDescent="0.25">
      <c r="A36" s="2" t="s">
        <v>342</v>
      </c>
      <c r="B36" s="2" t="s">
        <v>355</v>
      </c>
      <c r="C36" s="2" t="s">
        <v>363</v>
      </c>
      <c r="D36" s="94"/>
      <c r="E36" s="88"/>
      <c r="F36" s="138">
        <v>4</v>
      </c>
      <c r="G36" s="84" t="s">
        <v>354</v>
      </c>
      <c r="H36" s="148" t="s">
        <v>357</v>
      </c>
    </row>
    <row r="37" spans="1:16" ht="30" x14ac:dyDescent="0.25">
      <c r="A37" s="2" t="s">
        <v>342</v>
      </c>
      <c r="B37" s="2" t="s">
        <v>355</v>
      </c>
      <c r="C37" s="2" t="s">
        <v>363</v>
      </c>
      <c r="D37" s="94"/>
      <c r="E37" s="88"/>
      <c r="F37" s="138">
        <v>12</v>
      </c>
      <c r="G37" s="84" t="s">
        <v>354</v>
      </c>
      <c r="H37" s="148" t="s">
        <v>357</v>
      </c>
    </row>
    <row r="38" spans="1:16" x14ac:dyDescent="0.25">
      <c r="A38" s="2"/>
      <c r="D38" s="94"/>
      <c r="E38" s="88"/>
      <c r="F38" s="120"/>
      <c r="G38" s="84"/>
      <c r="H38" s="149"/>
    </row>
    <row r="39" spans="1:16" ht="45" x14ac:dyDescent="0.25">
      <c r="A39" s="2" t="s">
        <v>358</v>
      </c>
      <c r="B39" s="2" t="s">
        <v>359</v>
      </c>
      <c r="C39" s="2" t="s">
        <v>364</v>
      </c>
      <c r="D39" s="125" t="s">
        <v>481</v>
      </c>
      <c r="E39" s="88"/>
      <c r="F39" s="138">
        <v>10000</v>
      </c>
      <c r="G39" s="87" t="s">
        <v>482</v>
      </c>
      <c r="H39" s="149"/>
    </row>
    <row r="40" spans="1:16" x14ac:dyDescent="0.25">
      <c r="A40" s="2"/>
      <c r="C40" s="17"/>
      <c r="D40" s="90"/>
      <c r="E40" s="88"/>
      <c r="F40" s="99"/>
      <c r="G40" s="91"/>
      <c r="H40" s="98"/>
    </row>
    <row r="41" spans="1:16" customFormat="1" ht="30.75" customHeight="1" x14ac:dyDescent="0.25">
      <c r="A41" s="293" t="s">
        <v>591</v>
      </c>
      <c r="B41" s="294"/>
      <c r="C41" s="294"/>
      <c r="D41" s="294"/>
      <c r="E41" s="294"/>
      <c r="F41" s="294"/>
      <c r="G41" s="294"/>
      <c r="H41" s="295"/>
      <c r="I41" s="2"/>
      <c r="J41" s="2"/>
      <c r="K41" s="2"/>
      <c r="L41" s="2"/>
      <c r="M41" s="2"/>
      <c r="N41" s="2"/>
      <c r="O41" s="2"/>
      <c r="P41" s="2"/>
    </row>
    <row r="42" spans="1:16" customFormat="1" x14ac:dyDescent="0.25">
      <c r="A42" s="282"/>
      <c r="B42" s="283"/>
      <c r="C42" s="283"/>
      <c r="D42" s="283"/>
      <c r="E42" s="283"/>
      <c r="F42" s="283"/>
      <c r="G42" s="283"/>
      <c r="H42" s="284"/>
      <c r="I42" s="2"/>
      <c r="J42" s="2"/>
      <c r="K42" s="2"/>
      <c r="L42" s="2"/>
      <c r="M42" s="2"/>
      <c r="N42" s="2"/>
      <c r="O42" s="2"/>
      <c r="P42" s="2"/>
    </row>
    <row r="43" spans="1:16" customFormat="1" x14ac:dyDescent="0.25">
      <c r="A43" s="285"/>
      <c r="B43" s="286"/>
      <c r="C43" s="286"/>
      <c r="D43" s="286"/>
      <c r="E43" s="286"/>
      <c r="F43" s="286"/>
      <c r="G43" s="286"/>
      <c r="H43" s="287"/>
      <c r="I43" s="2"/>
      <c r="J43" s="2"/>
      <c r="K43" s="2"/>
      <c r="L43" s="2"/>
      <c r="M43" s="2"/>
      <c r="N43" s="2"/>
      <c r="O43" s="2"/>
      <c r="P43" s="2"/>
    </row>
    <row r="44" spans="1:16" customFormat="1" x14ac:dyDescent="0.25">
      <c r="A44" s="285"/>
      <c r="B44" s="286"/>
      <c r="C44" s="286"/>
      <c r="D44" s="286"/>
      <c r="E44" s="286"/>
      <c r="F44" s="286"/>
      <c r="G44" s="286"/>
      <c r="H44" s="287"/>
      <c r="I44" s="2"/>
      <c r="J44" s="2"/>
      <c r="K44" s="2"/>
      <c r="L44" s="2"/>
      <c r="M44" s="2"/>
      <c r="N44" s="2"/>
      <c r="O44" s="2"/>
      <c r="P44" s="2"/>
    </row>
    <row r="45" spans="1:16" customFormat="1" x14ac:dyDescent="0.25">
      <c r="A45" s="288"/>
      <c r="B45" s="289"/>
      <c r="C45" s="289"/>
      <c r="D45" s="289"/>
      <c r="E45" s="289"/>
      <c r="F45" s="289"/>
      <c r="G45" s="289"/>
      <c r="H45" s="290"/>
      <c r="I45" s="2"/>
      <c r="J45" s="2"/>
      <c r="K45" s="2"/>
      <c r="L45" s="2"/>
      <c r="M45" s="2"/>
      <c r="N45" s="2"/>
      <c r="O45" s="2"/>
      <c r="P45" s="2"/>
    </row>
    <row r="46" spans="1:16" x14ac:dyDescent="0.25">
      <c r="A46" s="2"/>
      <c r="D46" s="85"/>
      <c r="G46" s="84"/>
    </row>
    <row r="47" spans="1:16" x14ac:dyDescent="0.25">
      <c r="A47" s="7"/>
      <c r="B47" s="7"/>
      <c r="C47" s="7"/>
      <c r="D47" s="252"/>
      <c r="E47" s="7"/>
      <c r="F47" s="7"/>
      <c r="G47" s="253"/>
      <c r="H47" s="7"/>
      <c r="I47" s="7"/>
      <c r="J47" s="7"/>
      <c r="K47" s="7"/>
      <c r="L47" s="7"/>
      <c r="M47" s="7"/>
      <c r="N47" s="7"/>
      <c r="O47" s="7"/>
      <c r="P47" s="7"/>
    </row>
    <row r="48" spans="1:16" ht="21" x14ac:dyDescent="0.35">
      <c r="A48" s="5" t="s">
        <v>1</v>
      </c>
      <c r="C48" s="23"/>
      <c r="E48" s="34"/>
      <c r="F48" s="35"/>
    </row>
    <row r="49" spans="1:16" x14ac:dyDescent="0.25">
      <c r="A49" s="55" t="s">
        <v>104</v>
      </c>
      <c r="B49" s="26" t="s">
        <v>41</v>
      </c>
      <c r="C49" s="26"/>
      <c r="D49" s="65" t="s">
        <v>30</v>
      </c>
    </row>
    <row r="50" spans="1:16" x14ac:dyDescent="0.25">
      <c r="A50" s="49" t="s">
        <v>57</v>
      </c>
      <c r="B50" s="2" t="s">
        <v>108</v>
      </c>
      <c r="C50" s="2" t="s">
        <v>109</v>
      </c>
      <c r="D50" s="60">
        <v>400000</v>
      </c>
    </row>
    <row r="51" spans="1:16" x14ac:dyDescent="0.25">
      <c r="A51" s="49" t="s">
        <v>110</v>
      </c>
      <c r="B51" s="2" t="s">
        <v>111</v>
      </c>
      <c r="C51" s="2" t="s">
        <v>441</v>
      </c>
      <c r="D51" s="60">
        <v>50000</v>
      </c>
    </row>
    <row r="52" spans="1:16" x14ac:dyDescent="0.25">
      <c r="A52" s="49" t="s">
        <v>113</v>
      </c>
      <c r="B52" s="2" t="s">
        <v>112</v>
      </c>
      <c r="C52" s="2" t="s">
        <v>114</v>
      </c>
      <c r="D52" s="60">
        <v>20000</v>
      </c>
    </row>
    <row r="53" spans="1:16" x14ac:dyDescent="0.25">
      <c r="A53" s="49"/>
      <c r="D53" s="73" t="s">
        <v>205</v>
      </c>
    </row>
    <row r="54" spans="1:16" x14ac:dyDescent="0.25">
      <c r="A54" s="49" t="s">
        <v>115</v>
      </c>
      <c r="B54" s="2" t="s">
        <v>116</v>
      </c>
      <c r="C54" s="20" t="s">
        <v>578</v>
      </c>
      <c r="D54" s="60">
        <v>370000</v>
      </c>
    </row>
    <row r="55" spans="1:16" x14ac:dyDescent="0.25">
      <c r="A55" s="49"/>
      <c r="D55" s="74" t="s">
        <v>206</v>
      </c>
    </row>
    <row r="56" spans="1:16" x14ac:dyDescent="0.25">
      <c r="A56" s="52" t="s">
        <v>118</v>
      </c>
      <c r="B56" s="3" t="s">
        <v>117</v>
      </c>
      <c r="C56" s="3" t="s">
        <v>119</v>
      </c>
      <c r="D56" s="61">
        <f>D51+D54</f>
        <v>420000</v>
      </c>
    </row>
    <row r="57" spans="1:16" x14ac:dyDescent="0.25">
      <c r="D57" s="12"/>
      <c r="E57" s="9"/>
    </row>
    <row r="58" spans="1:16" x14ac:dyDescent="0.25">
      <c r="A58" s="45"/>
      <c r="B58" s="7"/>
      <c r="C58" s="7"/>
      <c r="D58" s="10"/>
      <c r="E58" s="10"/>
      <c r="F58" s="11"/>
      <c r="G58" s="7"/>
      <c r="H58" s="7"/>
      <c r="I58" s="7"/>
      <c r="J58" s="7"/>
      <c r="K58" s="7"/>
      <c r="L58" s="7"/>
      <c r="M58" s="7"/>
      <c r="N58" s="7"/>
      <c r="O58" s="7"/>
      <c r="P58" s="7"/>
    </row>
    <row r="59" spans="1:16" ht="21.75" thickBot="1" x14ac:dyDescent="0.4">
      <c r="A59" s="5" t="s">
        <v>2</v>
      </c>
      <c r="E59" s="12"/>
      <c r="F59" s="9"/>
    </row>
    <row r="60" spans="1:16" ht="21" x14ac:dyDescent="0.35">
      <c r="A60" s="55" t="s">
        <v>104</v>
      </c>
      <c r="B60" s="26" t="s">
        <v>41</v>
      </c>
      <c r="C60" s="26" t="s">
        <v>42</v>
      </c>
      <c r="D60" s="65" t="s">
        <v>31</v>
      </c>
      <c r="F60" s="55" t="s">
        <v>104</v>
      </c>
      <c r="G60" s="26" t="s">
        <v>41</v>
      </c>
      <c r="H60" s="26" t="s">
        <v>42</v>
      </c>
      <c r="I60" s="65" t="s">
        <v>31</v>
      </c>
      <c r="K60" s="158" t="s">
        <v>69</v>
      </c>
      <c r="L60" s="159"/>
      <c r="M60" s="160"/>
      <c r="N60" s="159"/>
      <c r="O60" s="161"/>
      <c r="P60" s="162"/>
    </row>
    <row r="61" spans="1:16" ht="30" x14ac:dyDescent="0.25">
      <c r="A61" s="47"/>
      <c r="B61" s="185" t="s">
        <v>3</v>
      </c>
      <c r="C61" s="185" t="s">
        <v>4</v>
      </c>
      <c r="D61" s="113">
        <v>505</v>
      </c>
      <c r="F61" s="47" t="s">
        <v>46</v>
      </c>
      <c r="G61" s="18" t="s">
        <v>208</v>
      </c>
      <c r="H61" s="18" t="s">
        <v>409</v>
      </c>
      <c r="I61" s="48">
        <f>D77+$D$81*D67/$D$71</f>
        <v>36.544117647058826</v>
      </c>
      <c r="K61" s="269" t="s">
        <v>569</v>
      </c>
      <c r="L61" s="270"/>
      <c r="M61" s="270"/>
      <c r="N61" s="270"/>
      <c r="O61" s="270"/>
      <c r="P61" s="271"/>
    </row>
    <row r="62" spans="1:16" ht="30" x14ac:dyDescent="0.25">
      <c r="A62" s="49"/>
      <c r="B62" s="20" t="s">
        <v>549</v>
      </c>
      <c r="C62" s="20" t="s">
        <v>445</v>
      </c>
      <c r="D62" s="60">
        <v>940</v>
      </c>
      <c r="F62" s="49" t="s">
        <v>47</v>
      </c>
      <c r="G62" s="2" t="s">
        <v>209</v>
      </c>
      <c r="H62" s="2" t="s">
        <v>410</v>
      </c>
      <c r="I62" s="54">
        <f>D78+$D$81*D68/$D$71</f>
        <v>5.1102941176470589</v>
      </c>
      <c r="K62" s="272" t="s">
        <v>570</v>
      </c>
      <c r="L62" s="267"/>
      <c r="M62" s="267"/>
      <c r="N62" s="267"/>
      <c r="O62" s="267"/>
      <c r="P62" s="268"/>
    </row>
    <row r="63" spans="1:16" ht="30" x14ac:dyDescent="0.25">
      <c r="A63" s="49"/>
      <c r="B63" s="20" t="s">
        <v>446</v>
      </c>
      <c r="C63" s="20" t="s">
        <v>447</v>
      </c>
      <c r="D63" s="109">
        <v>60</v>
      </c>
      <c r="F63" s="49" t="s">
        <v>48</v>
      </c>
      <c r="G63" s="2" t="s">
        <v>210</v>
      </c>
      <c r="H63" s="37" t="s">
        <v>411</v>
      </c>
      <c r="I63" s="54">
        <f>D79+$D$81*D69/$D$71</f>
        <v>2.0220588235294117</v>
      </c>
      <c r="K63" s="163"/>
      <c r="L63" s="165"/>
      <c r="M63" s="24" t="s">
        <v>543</v>
      </c>
      <c r="N63" s="22" t="s">
        <v>543</v>
      </c>
      <c r="O63" s="24" t="s">
        <v>544</v>
      </c>
      <c r="P63" s="169" t="s">
        <v>544</v>
      </c>
    </row>
    <row r="64" spans="1:16" ht="30" x14ac:dyDescent="0.25">
      <c r="A64" s="49"/>
      <c r="B64" s="20" t="s">
        <v>5</v>
      </c>
      <c r="C64" s="20" t="s">
        <v>6</v>
      </c>
      <c r="D64" s="60">
        <v>50</v>
      </c>
      <c r="F64" s="52" t="s">
        <v>49</v>
      </c>
      <c r="G64" s="3" t="s">
        <v>121</v>
      </c>
      <c r="H64" s="38" t="s">
        <v>412</v>
      </c>
      <c r="I64" s="72">
        <f>D80+$D$81*D70/$D$71</f>
        <v>11.323529411764707</v>
      </c>
      <c r="K64" s="186" t="s">
        <v>524</v>
      </c>
      <c r="L64" s="250" t="s">
        <v>426</v>
      </c>
      <c r="M64" s="187" t="s">
        <v>104</v>
      </c>
      <c r="N64" s="188" t="s">
        <v>349</v>
      </c>
      <c r="O64" s="187" t="s">
        <v>104</v>
      </c>
      <c r="P64" s="189" t="s">
        <v>349</v>
      </c>
    </row>
    <row r="65" spans="1:16" ht="45" x14ac:dyDescent="0.25">
      <c r="A65" s="49"/>
      <c r="B65" s="20" t="s">
        <v>589</v>
      </c>
      <c r="C65" s="20" t="s">
        <v>590</v>
      </c>
      <c r="D65" s="109">
        <v>20</v>
      </c>
      <c r="I65" s="42"/>
      <c r="K65" s="190" t="s">
        <v>534</v>
      </c>
      <c r="L65" s="166" t="s">
        <v>562</v>
      </c>
      <c r="M65" s="123" t="s">
        <v>132</v>
      </c>
      <c r="N65" s="191">
        <f>1000*D66/D56</f>
        <v>3.4166666666666665</v>
      </c>
      <c r="O65" s="123" t="s">
        <v>528</v>
      </c>
      <c r="P65" s="192">
        <f>1000*(D66-D73)/D56</f>
        <v>3.3690476190476191</v>
      </c>
    </row>
    <row r="66" spans="1:16" ht="30" x14ac:dyDescent="0.25">
      <c r="A66" s="52" t="s">
        <v>32</v>
      </c>
      <c r="B66" s="31" t="s">
        <v>238</v>
      </c>
      <c r="C66" s="31" t="s">
        <v>239</v>
      </c>
      <c r="D66" s="150">
        <f>D61+D62+D63-D64-D65</f>
        <v>1435</v>
      </c>
      <c r="F66" s="55" t="s">
        <v>104</v>
      </c>
      <c r="G66" s="26" t="s">
        <v>41</v>
      </c>
      <c r="H66" s="26" t="s">
        <v>42</v>
      </c>
      <c r="I66" s="65" t="s">
        <v>31</v>
      </c>
      <c r="K66" s="190" t="s">
        <v>535</v>
      </c>
      <c r="L66" s="166" t="s">
        <v>430</v>
      </c>
      <c r="M66" s="123" t="s">
        <v>133</v>
      </c>
      <c r="N66" s="193">
        <f>1000*I73/D50</f>
        <v>1.8659925045977088</v>
      </c>
      <c r="O66" s="123" t="s">
        <v>529</v>
      </c>
      <c r="P66" s="194">
        <f>1000*(D67+I61)/D50</f>
        <v>1.841360294117647</v>
      </c>
    </row>
    <row r="67" spans="1:16" x14ac:dyDescent="0.25">
      <c r="A67" s="49"/>
      <c r="B67" s="20" t="s">
        <v>197</v>
      </c>
      <c r="C67" s="20" t="s">
        <v>301</v>
      </c>
      <c r="D67" s="60">
        <v>700</v>
      </c>
      <c r="F67" s="49" t="s">
        <v>50</v>
      </c>
      <c r="G67" s="2" t="s">
        <v>247</v>
      </c>
      <c r="H67" s="2" t="s">
        <v>122</v>
      </c>
      <c r="I67" s="54">
        <f>$D$73*I112/$D$100</f>
        <v>9.8528841920246588</v>
      </c>
      <c r="J67" s="40"/>
      <c r="K67" s="190" t="s">
        <v>536</v>
      </c>
      <c r="L67" s="166" t="s">
        <v>430</v>
      </c>
      <c r="M67" s="123" t="s">
        <v>134</v>
      </c>
      <c r="N67" s="193">
        <f>IFERROR(1000*I74/D51,"-")</f>
        <v>1.1132306652637709</v>
      </c>
      <c r="O67" s="123" t="s">
        <v>530</v>
      </c>
      <c r="P67" s="194">
        <f>IFERROR(1000*(D68+I62)/D51,"-")</f>
        <v>1.102205882352941</v>
      </c>
    </row>
    <row r="68" spans="1:16" ht="30" x14ac:dyDescent="0.25">
      <c r="A68" s="49"/>
      <c r="B68" s="2" t="s">
        <v>198</v>
      </c>
      <c r="C68" s="2" t="s">
        <v>303</v>
      </c>
      <c r="D68" s="60">
        <v>50</v>
      </c>
      <c r="F68" s="49" t="s">
        <v>51</v>
      </c>
      <c r="G68" s="2" t="s">
        <v>248</v>
      </c>
      <c r="H68" s="2" t="s">
        <v>24</v>
      </c>
      <c r="I68" s="54">
        <f>$D$73*I113/$D$100</f>
        <v>0.55123914554148434</v>
      </c>
      <c r="J68" s="40"/>
      <c r="K68" s="190" t="s">
        <v>540</v>
      </c>
      <c r="L68" s="166" t="s">
        <v>430</v>
      </c>
      <c r="M68" s="123" t="s">
        <v>170</v>
      </c>
      <c r="N68" s="191">
        <f>IFERROR(1000*(I73/D50+I74/D51),"-")</f>
        <v>2.9792231698614797</v>
      </c>
      <c r="O68" s="123" t="s">
        <v>531</v>
      </c>
      <c r="P68" s="192">
        <f>IFERROR(P66+P67,"-")</f>
        <v>2.943566176470588</v>
      </c>
    </row>
    <row r="69" spans="1:16" x14ac:dyDescent="0.25">
      <c r="A69" s="49"/>
      <c r="B69" s="2" t="s">
        <v>207</v>
      </c>
      <c r="C69" s="2" t="s">
        <v>302</v>
      </c>
      <c r="D69" s="106">
        <v>10</v>
      </c>
      <c r="F69" s="49" t="s">
        <v>125</v>
      </c>
      <c r="G69" s="2" t="s">
        <v>249</v>
      </c>
      <c r="H69" s="2" t="s">
        <v>202</v>
      </c>
      <c r="I69" s="51">
        <f>$D$73*I114/$D$100</f>
        <v>9.2382614327665244E-2</v>
      </c>
      <c r="J69" s="41"/>
      <c r="K69" s="190" t="s">
        <v>537</v>
      </c>
      <c r="L69" s="167" t="s">
        <v>431</v>
      </c>
      <c r="M69" s="123" t="s">
        <v>250</v>
      </c>
      <c r="N69" s="193">
        <f>1000*I76/D54</f>
        <v>1.6779108742158675</v>
      </c>
      <c r="O69" s="123" t="s">
        <v>532</v>
      </c>
      <c r="P69" s="194">
        <f>1000*((D70+I64)/D54)</f>
        <v>1.6522257551669317</v>
      </c>
    </row>
    <row r="70" spans="1:16" x14ac:dyDescent="0.25">
      <c r="A70" s="49"/>
      <c r="B70" s="2" t="s">
        <v>120</v>
      </c>
      <c r="C70" s="2" t="s">
        <v>304</v>
      </c>
      <c r="D70" s="106">
        <v>600</v>
      </c>
      <c r="F70" s="52" t="s">
        <v>126</v>
      </c>
      <c r="G70" s="3" t="s">
        <v>123</v>
      </c>
      <c r="H70" s="3" t="s">
        <v>124</v>
      </c>
      <c r="I70" s="53">
        <f>$D$73*I115/$D$100</f>
        <v>9.5034940481061927</v>
      </c>
      <c r="J70" s="42"/>
      <c r="K70" s="190" t="s">
        <v>538</v>
      </c>
      <c r="L70" s="167" t="s">
        <v>431</v>
      </c>
      <c r="M70" s="123" t="s">
        <v>251</v>
      </c>
      <c r="N70" s="191">
        <f>IFERROR(1000*(I75/D52+I76/D54),"-")</f>
        <v>2.283632946108721</v>
      </c>
      <c r="O70" s="123" t="s">
        <v>533</v>
      </c>
      <c r="P70" s="192">
        <f>IFERROR(1000*((D69+I63)/D52+(D70+I64)/D54),"-")</f>
        <v>2.2533286963434023</v>
      </c>
    </row>
    <row r="71" spans="1:16" ht="16.5" thickBot="1" x14ac:dyDescent="0.3">
      <c r="A71" s="49" t="s">
        <v>33</v>
      </c>
      <c r="B71" s="29" t="s">
        <v>298</v>
      </c>
      <c r="C71" s="29" t="s">
        <v>240</v>
      </c>
      <c r="D71" s="67">
        <f>D67+D68+D69+D70</f>
        <v>1360</v>
      </c>
      <c r="E71" s="13"/>
      <c r="I71" s="39"/>
      <c r="J71" s="41"/>
      <c r="K71" s="195" t="s">
        <v>171</v>
      </c>
      <c r="L71" s="168" t="s">
        <v>346</v>
      </c>
      <c r="M71" s="196" t="s">
        <v>527</v>
      </c>
      <c r="N71" s="197">
        <f>(D62+D63)/D66</f>
        <v>0.69686411149825789</v>
      </c>
      <c r="O71" s="196" t="s">
        <v>564</v>
      </c>
      <c r="P71" s="198">
        <f>(D62+D63)/(D66-D73)</f>
        <v>0.70671378091872794</v>
      </c>
    </row>
    <row r="72" spans="1:16" ht="45" x14ac:dyDescent="0.25">
      <c r="A72" s="49"/>
      <c r="B72" s="33" t="s">
        <v>241</v>
      </c>
      <c r="C72" s="33" t="s">
        <v>242</v>
      </c>
      <c r="D72" s="60">
        <v>75</v>
      </c>
      <c r="E72" s="13"/>
      <c r="F72" s="55" t="s">
        <v>104</v>
      </c>
      <c r="G72" s="26" t="s">
        <v>41</v>
      </c>
      <c r="H72" s="26" t="s">
        <v>42</v>
      </c>
      <c r="I72" s="65" t="s">
        <v>31</v>
      </c>
      <c r="J72" s="41"/>
    </row>
    <row r="73" spans="1:16" ht="30" x14ac:dyDescent="0.25">
      <c r="A73" s="52"/>
      <c r="B73" s="76" t="s">
        <v>17</v>
      </c>
      <c r="C73" s="3" t="s">
        <v>29</v>
      </c>
      <c r="D73" s="114">
        <v>20</v>
      </c>
      <c r="E73" s="13"/>
      <c r="F73" s="49" t="s">
        <v>127</v>
      </c>
      <c r="G73" s="2" t="s">
        <v>231</v>
      </c>
      <c r="H73" s="2" t="s">
        <v>309</v>
      </c>
      <c r="I73" s="56">
        <f>D67+I61+I67</f>
        <v>746.39700183908349</v>
      </c>
      <c r="J73" s="41"/>
    </row>
    <row r="74" spans="1:16" ht="15.75" x14ac:dyDescent="0.25">
      <c r="A74" s="52" t="s">
        <v>39</v>
      </c>
      <c r="B74" s="30" t="s">
        <v>422</v>
      </c>
      <c r="C74" s="30" t="s">
        <v>423</v>
      </c>
      <c r="D74" s="68">
        <f>D71+D72+D73</f>
        <v>1455</v>
      </c>
      <c r="E74" s="13"/>
      <c r="F74" s="49" t="s">
        <v>128</v>
      </c>
      <c r="G74" s="2" t="s">
        <v>232</v>
      </c>
      <c r="H74" s="2" t="s">
        <v>310</v>
      </c>
      <c r="I74" s="56">
        <f>D68+I62+I68</f>
        <v>55.661533263188545</v>
      </c>
      <c r="J74" s="41"/>
    </row>
    <row r="75" spans="1:16" ht="30" x14ac:dyDescent="0.25">
      <c r="A75" s="115" t="s">
        <v>43</v>
      </c>
      <c r="B75" s="36" t="s">
        <v>243</v>
      </c>
      <c r="C75" s="130" t="s">
        <v>435</v>
      </c>
      <c r="D75" s="116">
        <f>D66-D74</f>
        <v>-20</v>
      </c>
      <c r="E75" s="13"/>
      <c r="F75" s="49" t="s">
        <v>130</v>
      </c>
      <c r="G75" s="2" t="s">
        <v>230</v>
      </c>
      <c r="H75" s="2" t="s">
        <v>311</v>
      </c>
      <c r="I75" s="57">
        <f>D69+I63+I69</f>
        <v>12.114441437857076</v>
      </c>
      <c r="J75" s="41"/>
    </row>
    <row r="76" spans="1:16" ht="15.75" x14ac:dyDescent="0.25">
      <c r="A76" s="49" t="s">
        <v>44</v>
      </c>
      <c r="B76" s="29" t="s">
        <v>21</v>
      </c>
      <c r="C76" s="29" t="s">
        <v>246</v>
      </c>
      <c r="D76" s="67">
        <f>D72+D75</f>
        <v>55</v>
      </c>
      <c r="E76" s="13"/>
      <c r="F76" s="52" t="s">
        <v>131</v>
      </c>
      <c r="G76" s="3" t="s">
        <v>129</v>
      </c>
      <c r="H76" s="3" t="s">
        <v>312</v>
      </c>
      <c r="I76" s="58">
        <f>D70+I64+I70</f>
        <v>620.82702345987093</v>
      </c>
      <c r="J76" s="41"/>
    </row>
    <row r="77" spans="1:16" ht="30" x14ac:dyDescent="0.25">
      <c r="A77" s="49"/>
      <c r="B77" s="2" t="s">
        <v>222</v>
      </c>
      <c r="C77" s="2" t="s">
        <v>293</v>
      </c>
      <c r="D77" s="109">
        <v>35</v>
      </c>
      <c r="E77" s="13"/>
    </row>
    <row r="78" spans="1:16" ht="30" x14ac:dyDescent="0.25">
      <c r="A78" s="49"/>
      <c r="B78" s="2" t="s">
        <v>223</v>
      </c>
      <c r="C78" s="2" t="s">
        <v>294</v>
      </c>
      <c r="D78" s="109">
        <v>5</v>
      </c>
      <c r="E78" s="13"/>
    </row>
    <row r="79" spans="1:16" ht="30" x14ac:dyDescent="0.25">
      <c r="A79" s="49"/>
      <c r="B79" s="2" t="s">
        <v>224</v>
      </c>
      <c r="C79" s="2" t="s">
        <v>295</v>
      </c>
      <c r="D79" s="109">
        <v>2</v>
      </c>
    </row>
    <row r="80" spans="1:16" ht="30" x14ac:dyDescent="0.25">
      <c r="A80" s="49"/>
      <c r="B80" s="2" t="s">
        <v>229</v>
      </c>
      <c r="C80" s="2" t="s">
        <v>560</v>
      </c>
      <c r="D80" s="109">
        <v>10</v>
      </c>
      <c r="E80" s="14"/>
    </row>
    <row r="81" spans="1:16" ht="30" x14ac:dyDescent="0.25">
      <c r="A81" s="52" t="s">
        <v>45</v>
      </c>
      <c r="B81" s="30" t="s">
        <v>244</v>
      </c>
      <c r="C81" s="30" t="s">
        <v>245</v>
      </c>
      <c r="D81" s="61">
        <f>D76-D77-D78-D79-D80</f>
        <v>3</v>
      </c>
      <c r="E81" s="14"/>
      <c r="F81" s="118"/>
    </row>
    <row r="82" spans="1:16" x14ac:dyDescent="0.25">
      <c r="E82" s="14"/>
      <c r="F82" s="118"/>
    </row>
    <row r="83" spans="1:16" x14ac:dyDescent="0.25">
      <c r="A83" s="45"/>
      <c r="B83" s="7"/>
      <c r="C83" s="7"/>
      <c r="D83" s="16"/>
      <c r="E83" s="16"/>
      <c r="F83" s="16"/>
      <c r="G83" s="16"/>
      <c r="H83" s="16"/>
      <c r="I83" s="16"/>
      <c r="J83" s="7"/>
      <c r="K83" s="7"/>
      <c r="L83" s="7"/>
      <c r="M83" s="7"/>
      <c r="N83" s="7"/>
      <c r="O83" s="7"/>
      <c r="P83" s="7"/>
    </row>
    <row r="84" spans="1:16" ht="32.25" thickBot="1" x14ac:dyDescent="0.4">
      <c r="A84" s="199" t="s">
        <v>7</v>
      </c>
      <c r="B84" s="20"/>
      <c r="C84" s="200" t="s">
        <v>448</v>
      </c>
      <c r="O84" s="155"/>
    </row>
    <row r="85" spans="1:16" ht="21" x14ac:dyDescent="0.35">
      <c r="A85" s="201" t="s">
        <v>104</v>
      </c>
      <c r="B85" s="172" t="s">
        <v>41</v>
      </c>
      <c r="C85" s="172" t="s">
        <v>42</v>
      </c>
      <c r="D85" s="65" t="s">
        <v>31</v>
      </c>
      <c r="F85" s="55" t="s">
        <v>104</v>
      </c>
      <c r="G85" s="26" t="s">
        <v>41</v>
      </c>
      <c r="H85" s="26" t="s">
        <v>42</v>
      </c>
      <c r="I85" s="65" t="s">
        <v>31</v>
      </c>
      <c r="K85" s="158" t="s">
        <v>69</v>
      </c>
      <c r="L85" s="159"/>
      <c r="M85" s="159"/>
      <c r="N85" s="171"/>
    </row>
    <row r="86" spans="1:16" ht="30" x14ac:dyDescent="0.25">
      <c r="A86" s="202"/>
      <c r="B86" s="185" t="s">
        <v>8</v>
      </c>
      <c r="C86" s="185" t="s">
        <v>449</v>
      </c>
      <c r="D86" s="113">
        <v>5000</v>
      </c>
      <c r="F86" s="47"/>
      <c r="G86" s="82" t="s">
        <v>258</v>
      </c>
      <c r="H86" s="164" t="s">
        <v>392</v>
      </c>
      <c r="I86" s="113">
        <v>280</v>
      </c>
      <c r="K86" s="174" t="s">
        <v>545</v>
      </c>
      <c r="L86" s="172" t="s">
        <v>426</v>
      </c>
      <c r="M86" s="86" t="s">
        <v>104</v>
      </c>
      <c r="N86" s="173" t="s">
        <v>349</v>
      </c>
    </row>
    <row r="87" spans="1:16" ht="30" x14ac:dyDescent="0.25">
      <c r="A87" s="203"/>
      <c r="B87" s="20" t="s">
        <v>9</v>
      </c>
      <c r="C87" s="20" t="s">
        <v>450</v>
      </c>
      <c r="D87" s="60">
        <v>1000</v>
      </c>
      <c r="F87" s="49"/>
      <c r="G87" s="33" t="s">
        <v>257</v>
      </c>
      <c r="H87" s="33" t="s">
        <v>393</v>
      </c>
      <c r="I87" s="60">
        <v>0</v>
      </c>
      <c r="K87" s="190" t="s">
        <v>534</v>
      </c>
      <c r="L87" s="166" t="s">
        <v>562</v>
      </c>
      <c r="M87" s="123" t="s">
        <v>143</v>
      </c>
      <c r="N87" s="192">
        <f>1000*D100/D56</f>
        <v>14.128571428571428</v>
      </c>
    </row>
    <row r="88" spans="1:16" x14ac:dyDescent="0.25">
      <c r="A88" s="203"/>
      <c r="B88" s="20" t="s">
        <v>10</v>
      </c>
      <c r="C88" s="20" t="s">
        <v>11</v>
      </c>
      <c r="D88" s="60">
        <v>30</v>
      </c>
      <c r="F88" s="49"/>
      <c r="G88" s="33" t="s">
        <v>256</v>
      </c>
      <c r="H88" s="33" t="s">
        <v>394</v>
      </c>
      <c r="I88" s="60">
        <v>0</v>
      </c>
      <c r="K88" s="190" t="s">
        <v>535</v>
      </c>
      <c r="L88" s="156" t="s">
        <v>430</v>
      </c>
      <c r="M88" s="123" t="s">
        <v>144</v>
      </c>
      <c r="N88" s="194">
        <f>1000*I112/D50</f>
        <v>7.3083768494342909</v>
      </c>
    </row>
    <row r="89" spans="1:16" x14ac:dyDescent="0.25">
      <c r="A89" s="203"/>
      <c r="B89" s="20" t="s">
        <v>12</v>
      </c>
      <c r="C89" s="20" t="s">
        <v>13</v>
      </c>
      <c r="D89" s="60">
        <v>10</v>
      </c>
      <c r="F89" s="52"/>
      <c r="G89" s="76" t="s">
        <v>259</v>
      </c>
      <c r="H89" s="76" t="s">
        <v>395</v>
      </c>
      <c r="I89" s="257">
        <v>0</v>
      </c>
      <c r="K89" s="190" t="s">
        <v>536</v>
      </c>
      <c r="L89" s="156" t="s">
        <v>430</v>
      </c>
      <c r="M89" s="123" t="s">
        <v>173</v>
      </c>
      <c r="N89" s="194">
        <f>IFERROR(1000*I113/D51,"-")</f>
        <v>3.2710530896431678</v>
      </c>
    </row>
    <row r="90" spans="1:16" x14ac:dyDescent="0.25">
      <c r="A90" s="203"/>
      <c r="B90" s="20" t="s">
        <v>398</v>
      </c>
      <c r="C90" s="20" t="s">
        <v>414</v>
      </c>
      <c r="D90" s="60">
        <v>20</v>
      </c>
      <c r="F90" s="49"/>
      <c r="G90" s="33" t="s">
        <v>255</v>
      </c>
      <c r="H90" s="75" t="s">
        <v>396</v>
      </c>
      <c r="I90" s="60">
        <v>0</v>
      </c>
      <c r="K90" s="190" t="s">
        <v>540</v>
      </c>
      <c r="L90" s="156" t="s">
        <v>430</v>
      </c>
      <c r="M90" s="123" t="s">
        <v>267</v>
      </c>
      <c r="N90" s="192">
        <f>IFERROR(1000*(I112/D50+I113/D51),"-")</f>
        <v>10.579429939077459</v>
      </c>
    </row>
    <row r="91" spans="1:16" ht="30" x14ac:dyDescent="0.25">
      <c r="A91" s="203"/>
      <c r="B91" s="20" t="s">
        <v>83</v>
      </c>
      <c r="C91" s="20" t="s">
        <v>199</v>
      </c>
      <c r="D91" s="60">
        <v>15</v>
      </c>
      <c r="F91" s="49"/>
      <c r="G91" s="33" t="s">
        <v>254</v>
      </c>
      <c r="H91" s="75" t="s">
        <v>260</v>
      </c>
      <c r="I91" s="60">
        <v>20</v>
      </c>
      <c r="K91" s="190" t="s">
        <v>537</v>
      </c>
      <c r="L91" s="157" t="s">
        <v>431</v>
      </c>
      <c r="M91" s="123" t="s">
        <v>297</v>
      </c>
      <c r="N91" s="194">
        <f>1000*I115/D54</f>
        <v>7.6207748218192091</v>
      </c>
    </row>
    <row r="92" spans="1:16" ht="15.75" thickBot="1" x14ac:dyDescent="0.3">
      <c r="A92" s="204" t="s">
        <v>34</v>
      </c>
      <c r="B92" s="31" t="s">
        <v>85</v>
      </c>
      <c r="C92" s="31" t="s">
        <v>105</v>
      </c>
      <c r="D92" s="61">
        <f>D86+D87+D88+D89+D90+D91</f>
        <v>6075</v>
      </c>
      <c r="F92" s="49"/>
      <c r="G92" s="33" t="s">
        <v>264</v>
      </c>
      <c r="H92" s="75" t="s">
        <v>261</v>
      </c>
      <c r="I92" s="60">
        <v>10</v>
      </c>
      <c r="K92" s="207" t="s">
        <v>538</v>
      </c>
      <c r="L92" s="170" t="s">
        <v>431</v>
      </c>
      <c r="M92" s="196" t="s">
        <v>520</v>
      </c>
      <c r="N92" s="208">
        <f>IFERROR(1000*(I114/D52+I115/D54),"-")</f>
        <v>8.9912709053701221</v>
      </c>
    </row>
    <row r="93" spans="1:16" x14ac:dyDescent="0.25">
      <c r="A93" s="203"/>
      <c r="B93" s="20" t="s">
        <v>14</v>
      </c>
      <c r="C93" s="20" t="s">
        <v>15</v>
      </c>
      <c r="D93" s="60">
        <v>20</v>
      </c>
      <c r="F93" s="49"/>
      <c r="G93" s="33" t="s">
        <v>253</v>
      </c>
      <c r="H93" s="75" t="s">
        <v>262</v>
      </c>
      <c r="I93" s="60">
        <v>170</v>
      </c>
    </row>
    <row r="94" spans="1:16" ht="30" x14ac:dyDescent="0.25">
      <c r="A94" s="203"/>
      <c r="B94" s="20" t="s">
        <v>579</v>
      </c>
      <c r="C94" s="20" t="s">
        <v>451</v>
      </c>
      <c r="D94" s="60">
        <v>50</v>
      </c>
      <c r="F94" s="52" t="s">
        <v>55</v>
      </c>
      <c r="G94" s="30" t="s">
        <v>266</v>
      </c>
      <c r="H94" s="31" t="s">
        <v>485</v>
      </c>
      <c r="I94" s="61">
        <f>SUM(I86:I89)-SUM(I90:I93)-D98-D99</f>
        <v>-30</v>
      </c>
    </row>
    <row r="95" spans="1:16" ht="45" x14ac:dyDescent="0.25">
      <c r="A95" s="203"/>
      <c r="B95" s="20" t="s">
        <v>174</v>
      </c>
      <c r="C95" s="20" t="s">
        <v>580</v>
      </c>
      <c r="D95" s="109">
        <v>1</v>
      </c>
    </row>
    <row r="96" spans="1:16" ht="30" x14ac:dyDescent="0.25">
      <c r="A96" s="204" t="s">
        <v>35</v>
      </c>
      <c r="B96" s="31" t="s">
        <v>27</v>
      </c>
      <c r="C96" s="31" t="s">
        <v>436</v>
      </c>
      <c r="D96" s="150">
        <f>D92+D93-D94-D95</f>
        <v>6044</v>
      </c>
      <c r="F96" s="55" t="s">
        <v>104</v>
      </c>
      <c r="G96" s="26" t="s">
        <v>41</v>
      </c>
      <c r="H96" s="26" t="s">
        <v>42</v>
      </c>
      <c r="I96" s="65" t="s">
        <v>31</v>
      </c>
    </row>
    <row r="97" spans="1:9" ht="30" x14ac:dyDescent="0.25">
      <c r="A97" s="205"/>
      <c r="B97" s="206" t="s">
        <v>452</v>
      </c>
      <c r="C97" s="206" t="s">
        <v>453</v>
      </c>
      <c r="D97" s="114">
        <v>150</v>
      </c>
      <c r="F97" s="47" t="s">
        <v>58</v>
      </c>
      <c r="G97" s="32" t="s">
        <v>22</v>
      </c>
      <c r="H97" s="77" t="s">
        <v>263</v>
      </c>
      <c r="I97" s="80">
        <f>D106+D107+D109+I94</f>
        <v>269</v>
      </c>
    </row>
    <row r="98" spans="1:9" ht="45" x14ac:dyDescent="0.25">
      <c r="A98" s="203"/>
      <c r="B98" s="20" t="s">
        <v>581</v>
      </c>
      <c r="C98" s="20" t="s">
        <v>397</v>
      </c>
      <c r="D98" s="60">
        <v>90</v>
      </c>
      <c r="F98" s="49"/>
      <c r="G98" s="2" t="s">
        <v>225</v>
      </c>
      <c r="H98" s="2" t="s">
        <v>401</v>
      </c>
      <c r="I98" s="60">
        <v>70</v>
      </c>
    </row>
    <row r="99" spans="1:9" ht="45" x14ac:dyDescent="0.25">
      <c r="A99" s="203"/>
      <c r="B99" s="20" t="s">
        <v>252</v>
      </c>
      <c r="C99" s="20" t="s">
        <v>582</v>
      </c>
      <c r="D99" s="109">
        <v>20</v>
      </c>
      <c r="F99" s="49"/>
      <c r="G99" s="2" t="s">
        <v>226</v>
      </c>
      <c r="H99" s="2" t="s">
        <v>402</v>
      </c>
      <c r="I99" s="60">
        <v>10</v>
      </c>
    </row>
    <row r="100" spans="1:9" ht="45" x14ac:dyDescent="0.25">
      <c r="A100" s="204" t="s">
        <v>37</v>
      </c>
      <c r="B100" s="31" t="s">
        <v>28</v>
      </c>
      <c r="C100" s="31" t="s">
        <v>427</v>
      </c>
      <c r="D100" s="150">
        <f>D96-D98-D99</f>
        <v>5934</v>
      </c>
      <c r="F100" s="49"/>
      <c r="G100" s="2" t="s">
        <v>227</v>
      </c>
      <c r="H100" s="2" t="s">
        <v>403</v>
      </c>
      <c r="I100" s="60">
        <v>2</v>
      </c>
    </row>
    <row r="101" spans="1:9" ht="45" x14ac:dyDescent="0.25">
      <c r="A101" s="203"/>
      <c r="B101" s="20" t="s">
        <v>212</v>
      </c>
      <c r="C101" s="20" t="s">
        <v>305</v>
      </c>
      <c r="D101" s="60">
        <v>3050</v>
      </c>
      <c r="F101" s="49"/>
      <c r="G101" s="2" t="s">
        <v>228</v>
      </c>
      <c r="H101" s="2" t="s">
        <v>404</v>
      </c>
      <c r="I101" s="60">
        <v>30</v>
      </c>
    </row>
    <row r="102" spans="1:9" ht="45" x14ac:dyDescent="0.25">
      <c r="A102" s="203"/>
      <c r="B102" s="20" t="s">
        <v>213</v>
      </c>
      <c r="C102" s="20" t="s">
        <v>306</v>
      </c>
      <c r="D102" s="60">
        <v>130</v>
      </c>
      <c r="F102" s="52" t="s">
        <v>59</v>
      </c>
      <c r="G102" s="30" t="s">
        <v>172</v>
      </c>
      <c r="H102" s="3" t="s">
        <v>313</v>
      </c>
      <c r="I102" s="61">
        <f>I97-I98-I99-I100-I101</f>
        <v>157</v>
      </c>
    </row>
    <row r="103" spans="1:9" x14ac:dyDescent="0.25">
      <c r="A103" s="203"/>
      <c r="B103" s="20" t="s">
        <v>211</v>
      </c>
      <c r="C103" s="20" t="s">
        <v>307</v>
      </c>
      <c r="D103" s="109">
        <v>15</v>
      </c>
    </row>
    <row r="104" spans="1:9" x14ac:dyDescent="0.25">
      <c r="A104" s="203"/>
      <c r="B104" s="20" t="s">
        <v>135</v>
      </c>
      <c r="C104" s="20" t="s">
        <v>308</v>
      </c>
      <c r="D104" s="109">
        <v>2550</v>
      </c>
      <c r="F104" s="55" t="s">
        <v>104</v>
      </c>
      <c r="G104" s="26" t="s">
        <v>41</v>
      </c>
      <c r="H104" s="26" t="s">
        <v>42</v>
      </c>
      <c r="I104" s="65" t="s">
        <v>31</v>
      </c>
    </row>
    <row r="105" spans="1:9" ht="30" x14ac:dyDescent="0.25">
      <c r="A105" s="204" t="s">
        <v>36</v>
      </c>
      <c r="B105" s="31" t="s">
        <v>299</v>
      </c>
      <c r="C105" s="31" t="s">
        <v>237</v>
      </c>
      <c r="D105" s="61">
        <f>D101+D102+D103+D104</f>
        <v>5745</v>
      </c>
      <c r="F105" s="47" t="s">
        <v>60</v>
      </c>
      <c r="G105" s="18" t="s">
        <v>185</v>
      </c>
      <c r="H105" s="18" t="s">
        <v>416</v>
      </c>
      <c r="I105" s="62">
        <f>I98+$I$102*D101/$D$105</f>
        <v>153.35073977371627</v>
      </c>
    </row>
    <row r="106" spans="1:9" ht="60" x14ac:dyDescent="0.25">
      <c r="A106" s="203"/>
      <c r="B106" s="20" t="s">
        <v>236</v>
      </c>
      <c r="C106" s="75" t="s">
        <v>399</v>
      </c>
      <c r="D106" s="60">
        <v>340</v>
      </c>
      <c r="F106" s="49" t="s">
        <v>61</v>
      </c>
      <c r="G106" s="2" t="s">
        <v>186</v>
      </c>
      <c r="H106" s="2" t="s">
        <v>406</v>
      </c>
      <c r="I106" s="56">
        <f>I99+$I$102*D102/$D$105</f>
        <v>13.552654482158399</v>
      </c>
    </row>
    <row r="107" spans="1:9" ht="30" x14ac:dyDescent="0.25">
      <c r="A107" s="49"/>
      <c r="B107" s="2" t="s">
        <v>405</v>
      </c>
      <c r="C107" s="20" t="s">
        <v>400</v>
      </c>
      <c r="D107" s="60">
        <v>40</v>
      </c>
      <c r="F107" s="49" t="s">
        <v>84</v>
      </c>
      <c r="G107" s="2" t="s">
        <v>214</v>
      </c>
      <c r="H107" s="2" t="s">
        <v>408</v>
      </c>
      <c r="I107" s="63">
        <f>I100+$I$102*D103/$D$105</f>
        <v>2.4099216710182767</v>
      </c>
    </row>
    <row r="108" spans="1:9" ht="30" x14ac:dyDescent="0.25">
      <c r="A108" s="49" t="s">
        <v>56</v>
      </c>
      <c r="B108" s="29" t="s">
        <v>296</v>
      </c>
      <c r="C108" s="78" t="s">
        <v>300</v>
      </c>
      <c r="D108" s="80">
        <f>D105+D106+D107</f>
        <v>6125</v>
      </c>
      <c r="F108" s="49" t="s">
        <v>86</v>
      </c>
      <c r="G108" s="2" t="s">
        <v>136</v>
      </c>
      <c r="H108" s="2" t="s">
        <v>407</v>
      </c>
      <c r="I108" s="57">
        <f>I101+$I$102*D104/$D$105</f>
        <v>99.686684073107045</v>
      </c>
    </row>
    <row r="109" spans="1:9" ht="30" x14ac:dyDescent="0.25">
      <c r="A109" s="52" t="s">
        <v>54</v>
      </c>
      <c r="B109" s="30" t="s">
        <v>265</v>
      </c>
      <c r="C109" s="31" t="s">
        <v>437</v>
      </c>
      <c r="D109" s="61">
        <f>D96-D108</f>
        <v>-81</v>
      </c>
      <c r="F109" s="19"/>
      <c r="G109" s="3"/>
      <c r="H109" s="43" t="s">
        <v>88</v>
      </c>
      <c r="I109" s="64">
        <f>I105+I106+I107+I108-I97</f>
        <v>0</v>
      </c>
    </row>
    <row r="111" spans="1:9" x14ac:dyDescent="0.25">
      <c r="F111" s="55" t="s">
        <v>104</v>
      </c>
      <c r="G111" s="26" t="s">
        <v>41</v>
      </c>
      <c r="H111" s="26" t="s">
        <v>42</v>
      </c>
      <c r="I111" s="65" t="s">
        <v>31</v>
      </c>
    </row>
    <row r="112" spans="1:9" x14ac:dyDescent="0.25">
      <c r="F112" s="49" t="s">
        <v>137</v>
      </c>
      <c r="G112" s="2" t="s">
        <v>183</v>
      </c>
      <c r="H112" s="2" t="s">
        <v>64</v>
      </c>
      <c r="I112" s="66">
        <f>D101+I105+I90-I86</f>
        <v>2923.3507397737162</v>
      </c>
    </row>
    <row r="113" spans="1:16" x14ac:dyDescent="0.25">
      <c r="F113" s="49" t="s">
        <v>140</v>
      </c>
      <c r="G113" s="2" t="s">
        <v>184</v>
      </c>
      <c r="H113" s="2" t="s">
        <v>65</v>
      </c>
      <c r="I113" s="56">
        <f>D102+I106+I91-I87</f>
        <v>163.5526544821584</v>
      </c>
    </row>
    <row r="114" spans="1:16" x14ac:dyDescent="0.25">
      <c r="C114" s="29"/>
      <c r="D114" s="15"/>
      <c r="F114" s="49" t="s">
        <v>141</v>
      </c>
      <c r="G114" s="2" t="s">
        <v>415</v>
      </c>
      <c r="H114" s="2" t="s">
        <v>203</v>
      </c>
      <c r="I114" s="67">
        <f>D103+I107+I92-I88</f>
        <v>27.409921671018278</v>
      </c>
    </row>
    <row r="115" spans="1:16" x14ac:dyDescent="0.25">
      <c r="C115" s="29"/>
      <c r="D115" s="15"/>
      <c r="F115" s="52" t="s">
        <v>142</v>
      </c>
      <c r="G115" s="3" t="s">
        <v>138</v>
      </c>
      <c r="H115" s="3" t="s">
        <v>139</v>
      </c>
      <c r="I115" s="68">
        <f>D104+I108+I93-I89</f>
        <v>2819.6866840731072</v>
      </c>
    </row>
    <row r="116" spans="1:16" x14ac:dyDescent="0.25">
      <c r="C116" s="29"/>
      <c r="D116" s="15"/>
      <c r="F116" s="23"/>
      <c r="I116" s="15"/>
    </row>
    <row r="117" spans="1:16" x14ac:dyDescent="0.25">
      <c r="A117" s="45"/>
      <c r="B117" s="7"/>
      <c r="C117" s="7"/>
      <c r="D117" s="7"/>
      <c r="E117" s="7"/>
      <c r="F117" s="7"/>
      <c r="G117" s="7"/>
      <c r="H117" s="7"/>
      <c r="I117" s="7"/>
      <c r="J117" s="7"/>
      <c r="K117" s="7"/>
      <c r="L117" s="7"/>
      <c r="M117" s="7"/>
      <c r="N117" s="7"/>
      <c r="O117" s="7"/>
      <c r="P117" s="7"/>
    </row>
    <row r="118" spans="1:16" ht="21.75" thickBot="1" x14ac:dyDescent="0.4">
      <c r="A118" s="6" t="s">
        <v>215</v>
      </c>
      <c r="C118" s="8"/>
      <c r="D118" s="3"/>
      <c r="E118" s="17"/>
    </row>
    <row r="119" spans="1:16" ht="21" x14ac:dyDescent="0.35">
      <c r="A119" s="55" t="s">
        <v>104</v>
      </c>
      <c r="B119" s="26" t="s">
        <v>41</v>
      </c>
      <c r="C119" s="26" t="s">
        <v>42</v>
      </c>
      <c r="D119" s="65" t="s">
        <v>31</v>
      </c>
      <c r="E119" s="17"/>
      <c r="F119" s="55" t="s">
        <v>104</v>
      </c>
      <c r="G119" s="26" t="s">
        <v>41</v>
      </c>
      <c r="H119" s="26" t="s">
        <v>42</v>
      </c>
      <c r="I119" s="65" t="s">
        <v>31</v>
      </c>
      <c r="K119" s="158" t="s">
        <v>69</v>
      </c>
      <c r="L119" s="160"/>
      <c r="M119" s="160"/>
      <c r="N119" s="160"/>
      <c r="O119" s="160"/>
      <c r="P119" s="162"/>
    </row>
    <row r="120" spans="1:16" ht="31.5" customHeight="1" x14ac:dyDescent="0.25">
      <c r="A120" s="103"/>
      <c r="B120" s="4"/>
      <c r="C120" s="27" t="s">
        <v>432</v>
      </c>
      <c r="D120" s="102"/>
      <c r="E120" s="17"/>
      <c r="F120" s="47"/>
      <c r="G120" s="18"/>
      <c r="H120" s="27" t="s">
        <v>568</v>
      </c>
      <c r="I120" s="111"/>
      <c r="K120" s="263" t="s">
        <v>571</v>
      </c>
      <c r="L120" s="264"/>
      <c r="M120" s="264"/>
      <c r="N120" s="264"/>
      <c r="O120" s="264"/>
      <c r="P120" s="265"/>
    </row>
    <row r="121" spans="1:16" ht="30" x14ac:dyDescent="0.25">
      <c r="A121" s="49"/>
      <c r="B121" s="2" t="s">
        <v>421</v>
      </c>
      <c r="C121" s="2" t="s">
        <v>438</v>
      </c>
      <c r="D121" s="109">
        <v>3020</v>
      </c>
      <c r="F121" s="49"/>
      <c r="G121" s="2" t="s">
        <v>542</v>
      </c>
      <c r="H121" s="2" t="s">
        <v>483</v>
      </c>
      <c r="I121" s="109">
        <v>60</v>
      </c>
      <c r="K121" s="266" t="s">
        <v>572</v>
      </c>
      <c r="L121" s="267"/>
      <c r="M121" s="267"/>
      <c r="N121" s="267"/>
      <c r="O121" s="267"/>
      <c r="P121" s="268"/>
    </row>
    <row r="122" spans="1:16" ht="30" x14ac:dyDescent="0.25">
      <c r="A122" s="49"/>
      <c r="B122" s="2" t="s">
        <v>376</v>
      </c>
      <c r="C122" s="2" t="s">
        <v>377</v>
      </c>
      <c r="D122" s="109">
        <v>230</v>
      </c>
      <c r="F122" s="49"/>
      <c r="G122" s="20" t="s">
        <v>567</v>
      </c>
      <c r="H122" s="2" t="s">
        <v>566</v>
      </c>
      <c r="I122" s="109">
        <v>4</v>
      </c>
      <c r="K122" s="259"/>
      <c r="L122" s="260"/>
      <c r="M122" s="123" t="s">
        <v>543</v>
      </c>
      <c r="N122" s="123" t="s">
        <v>543</v>
      </c>
      <c r="O122" s="123" t="s">
        <v>544</v>
      </c>
      <c r="P122" s="215" t="s">
        <v>544</v>
      </c>
    </row>
    <row r="123" spans="1:16" ht="15.75" x14ac:dyDescent="0.25">
      <c r="A123" s="49"/>
      <c r="B123" s="2" t="s">
        <v>16</v>
      </c>
      <c r="C123" s="2" t="s">
        <v>276</v>
      </c>
      <c r="D123" s="109">
        <v>10</v>
      </c>
      <c r="E123" s="13"/>
      <c r="F123" s="204" t="s">
        <v>70</v>
      </c>
      <c r="G123" s="31" t="s">
        <v>592</v>
      </c>
      <c r="H123" s="31" t="s">
        <v>541</v>
      </c>
      <c r="I123" s="150">
        <f>I121+I122</f>
        <v>64</v>
      </c>
      <c r="K123" s="186" t="s">
        <v>526</v>
      </c>
      <c r="L123" s="261" t="s">
        <v>426</v>
      </c>
      <c r="M123" s="187" t="s">
        <v>104</v>
      </c>
      <c r="N123" s="175" t="s">
        <v>349</v>
      </c>
      <c r="O123" s="187" t="s">
        <v>104</v>
      </c>
      <c r="P123" s="216" t="s">
        <v>349</v>
      </c>
    </row>
    <row r="124" spans="1:16" ht="30" x14ac:dyDescent="0.25">
      <c r="A124" s="49" t="s">
        <v>62</v>
      </c>
      <c r="B124" s="29" t="s">
        <v>380</v>
      </c>
      <c r="C124" s="29" t="s">
        <v>381</v>
      </c>
      <c r="D124" s="80">
        <f>D121+D122-D123</f>
        <v>3240</v>
      </c>
      <c r="F124" s="20"/>
      <c r="G124" s="20"/>
      <c r="H124" s="20"/>
      <c r="K124" s="258" t="s">
        <v>539</v>
      </c>
      <c r="L124" s="166" t="s">
        <v>562</v>
      </c>
      <c r="M124" s="123" t="s">
        <v>495</v>
      </c>
      <c r="N124" s="217">
        <f>1000*I126/D56</f>
        <v>8.0703081232492995</v>
      </c>
      <c r="O124" s="123" t="s">
        <v>501</v>
      </c>
      <c r="P124" s="218">
        <f>1000*I142/D56</f>
        <v>1.4285714285714286</v>
      </c>
    </row>
    <row r="125" spans="1:16" x14ac:dyDescent="0.25">
      <c r="A125" s="49"/>
      <c r="C125" s="29" t="s">
        <v>390</v>
      </c>
      <c r="D125" s="110">
        <f>D124-D127-D140</f>
        <v>0</v>
      </c>
      <c r="F125" s="201" t="s">
        <v>104</v>
      </c>
      <c r="G125" s="172" t="s">
        <v>41</v>
      </c>
      <c r="H125" s="172" t="s">
        <v>42</v>
      </c>
      <c r="I125" s="65" t="s">
        <v>31</v>
      </c>
      <c r="K125" s="190" t="s">
        <v>535</v>
      </c>
      <c r="L125" s="166" t="s">
        <v>430</v>
      </c>
      <c r="M125" s="123" t="s">
        <v>496</v>
      </c>
      <c r="N125" s="219">
        <f>1000*I135/D50</f>
        <v>4.3969368540817362</v>
      </c>
      <c r="O125" s="123" t="s">
        <v>502</v>
      </c>
      <c r="P125" s="220">
        <f>1000*I143/D50</f>
        <v>1.0425</v>
      </c>
    </row>
    <row r="126" spans="1:16" x14ac:dyDescent="0.25">
      <c r="A126" s="209"/>
      <c r="B126" s="210"/>
      <c r="C126" s="83" t="s">
        <v>388</v>
      </c>
      <c r="D126" s="22"/>
      <c r="F126" s="204" t="s">
        <v>89</v>
      </c>
      <c r="G126" s="211" t="s">
        <v>375</v>
      </c>
      <c r="H126" s="211" t="s">
        <v>272</v>
      </c>
      <c r="I126" s="150">
        <f>D138+D145+D156-I123</f>
        <v>3389.5294117647059</v>
      </c>
      <c r="K126" s="190" t="s">
        <v>536</v>
      </c>
      <c r="L126" s="166" t="s">
        <v>430</v>
      </c>
      <c r="M126" s="123" t="s">
        <v>497</v>
      </c>
      <c r="N126" s="217">
        <f>IFERROR(1000*I136/D51,"-")</f>
        <v>2.8729771147186711</v>
      </c>
      <c r="O126" s="123" t="s">
        <v>503</v>
      </c>
      <c r="P126" s="221">
        <f>IFERROR(1000*I144/D51,"-")</f>
        <v>1.3</v>
      </c>
    </row>
    <row r="127" spans="1:16" x14ac:dyDescent="0.25">
      <c r="A127" s="203"/>
      <c r="B127" s="20" t="s">
        <v>382</v>
      </c>
      <c r="C127" s="20" t="s">
        <v>454</v>
      </c>
      <c r="D127" s="109">
        <v>3020</v>
      </c>
      <c r="F127" s="212"/>
      <c r="G127" s="31"/>
      <c r="H127" s="31"/>
      <c r="K127" s="190" t="s">
        <v>540</v>
      </c>
      <c r="L127" s="166" t="s">
        <v>430</v>
      </c>
      <c r="M127" s="123" t="s">
        <v>498</v>
      </c>
      <c r="N127" s="219">
        <f>IFERROR(1000*(I135/D50+I136/D51),"-")</f>
        <v>7.2699139688004077</v>
      </c>
      <c r="O127" s="123" t="s">
        <v>504</v>
      </c>
      <c r="P127" s="220">
        <f>IFERROR(1000*(I143/D50+I144/D51),"-")</f>
        <v>2.3424999999999998</v>
      </c>
    </row>
    <row r="128" spans="1:16" x14ac:dyDescent="0.25">
      <c r="A128" s="203"/>
      <c r="B128" s="20" t="s">
        <v>383</v>
      </c>
      <c r="C128" s="20" t="s">
        <v>378</v>
      </c>
      <c r="D128" s="109">
        <v>0</v>
      </c>
      <c r="F128" s="201" t="s">
        <v>104</v>
      </c>
      <c r="G128" s="172" t="s">
        <v>41</v>
      </c>
      <c r="H128" s="172" t="s">
        <v>42</v>
      </c>
      <c r="I128" s="65" t="s">
        <v>31</v>
      </c>
      <c r="K128" s="190" t="s">
        <v>538</v>
      </c>
      <c r="L128" s="167" t="s">
        <v>431</v>
      </c>
      <c r="M128" s="123" t="s">
        <v>499</v>
      </c>
      <c r="N128" s="217">
        <f>IFERROR(1000*(I137/D52+I138/D54),"-")</f>
        <v>4.6899196165562769</v>
      </c>
      <c r="O128" s="123" t="s">
        <v>521</v>
      </c>
      <c r="P128" s="218">
        <f>IFERROR(1000*(I145/D52+I146/D54),"-")</f>
        <v>0.36621621621621625</v>
      </c>
    </row>
    <row r="129" spans="1:16" ht="30.75" thickBot="1" x14ac:dyDescent="0.3">
      <c r="A129" s="203"/>
      <c r="B129" s="20" t="s">
        <v>384</v>
      </c>
      <c r="C129" s="20" t="s">
        <v>379</v>
      </c>
      <c r="D129" s="109">
        <v>0</v>
      </c>
      <c r="F129" s="203" t="s">
        <v>90</v>
      </c>
      <c r="G129" s="75" t="s">
        <v>321</v>
      </c>
      <c r="H129" s="75" t="s">
        <v>417</v>
      </c>
      <c r="I129" s="66">
        <f>D138*I112/D100</f>
        <v>1405.7747416326947</v>
      </c>
      <c r="K129" s="195" t="s">
        <v>537</v>
      </c>
      <c r="L129" s="168" t="s">
        <v>431</v>
      </c>
      <c r="M129" s="196" t="s">
        <v>500</v>
      </c>
      <c r="N129" s="222">
        <f>1000*I138/D54</f>
        <v>3.9808783487570056</v>
      </c>
      <c r="O129" s="196" t="s">
        <v>522</v>
      </c>
      <c r="P129" s="223">
        <f>1000*I146/D54</f>
        <v>0.31621621621621621</v>
      </c>
    </row>
    <row r="130" spans="1:16" ht="30" x14ac:dyDescent="0.25">
      <c r="A130" s="203"/>
      <c r="B130" s="20" t="s">
        <v>316</v>
      </c>
      <c r="C130" s="20" t="s">
        <v>87</v>
      </c>
      <c r="D130" s="109">
        <v>50</v>
      </c>
      <c r="F130" s="203" t="s">
        <v>91</v>
      </c>
      <c r="G130" s="75" t="s">
        <v>322</v>
      </c>
      <c r="H130" s="75" t="s">
        <v>418</v>
      </c>
      <c r="I130" s="66">
        <f>D138*I113/D100</f>
        <v>78.648855735933552</v>
      </c>
    </row>
    <row r="131" spans="1:16" ht="30" x14ac:dyDescent="0.25">
      <c r="A131" s="203"/>
      <c r="B131" s="20" t="s">
        <v>317</v>
      </c>
      <c r="C131" s="20" t="s">
        <v>440</v>
      </c>
      <c r="D131" s="109">
        <v>20</v>
      </c>
      <c r="F131" s="203" t="s">
        <v>92</v>
      </c>
      <c r="G131" s="75" t="s">
        <v>323</v>
      </c>
      <c r="H131" s="75" t="s">
        <v>419</v>
      </c>
      <c r="I131" s="69">
        <f>D138*I114/D100</f>
        <v>13.180825355985414</v>
      </c>
    </row>
    <row r="132" spans="1:16" ht="30" x14ac:dyDescent="0.25">
      <c r="A132" s="204" t="s">
        <v>63</v>
      </c>
      <c r="B132" s="31" t="s">
        <v>318</v>
      </c>
      <c r="C132" s="31" t="s">
        <v>332</v>
      </c>
      <c r="D132" s="61">
        <f>SUM(D127:D131)</f>
        <v>3090</v>
      </c>
      <c r="F132" s="204" t="s">
        <v>154</v>
      </c>
      <c r="G132" s="211" t="s">
        <v>324</v>
      </c>
      <c r="H132" s="211" t="s">
        <v>420</v>
      </c>
      <c r="I132" s="70">
        <f>D138*I115/D100</f>
        <v>1355.9249890400922</v>
      </c>
      <c r="J132" s="151"/>
    </row>
    <row r="133" spans="1:16" ht="60" x14ac:dyDescent="0.25">
      <c r="A133" s="203"/>
      <c r="B133" s="20" t="s">
        <v>268</v>
      </c>
      <c r="C133" s="20" t="s">
        <v>583</v>
      </c>
      <c r="D133" s="105">
        <v>0.85</v>
      </c>
      <c r="F133" s="20"/>
      <c r="G133" s="20"/>
      <c r="H133" s="20"/>
    </row>
    <row r="134" spans="1:16" ht="30" x14ac:dyDescent="0.25">
      <c r="A134" s="262" t="s">
        <v>147</v>
      </c>
      <c r="B134" s="78" t="s">
        <v>584</v>
      </c>
      <c r="C134" s="78" t="s">
        <v>456</v>
      </c>
      <c r="D134" s="81">
        <f>IFERROR(D94/D133,"0")</f>
        <v>58.82352941176471</v>
      </c>
      <c r="F134" s="201" t="s">
        <v>104</v>
      </c>
      <c r="G134" s="172" t="s">
        <v>41</v>
      </c>
      <c r="H134" s="172" t="s">
        <v>42</v>
      </c>
      <c r="I134" s="65" t="s">
        <v>31</v>
      </c>
    </row>
    <row r="135" spans="1:16" ht="30" x14ac:dyDescent="0.25">
      <c r="A135" s="204" t="s">
        <v>148</v>
      </c>
      <c r="B135" s="31" t="s">
        <v>455</v>
      </c>
      <c r="C135" s="31" t="s">
        <v>586</v>
      </c>
      <c r="D135" s="150">
        <f>IFERROR(D95/D133,"0")</f>
        <v>1.1764705882352942</v>
      </c>
      <c r="F135" s="202" t="s">
        <v>155</v>
      </c>
      <c r="G135" s="164" t="s">
        <v>191</v>
      </c>
      <c r="H135" s="164" t="s">
        <v>99</v>
      </c>
      <c r="I135" s="71">
        <f>I129+D146+D157-I123</f>
        <v>1758.7747416326947</v>
      </c>
    </row>
    <row r="136" spans="1:16" ht="45" x14ac:dyDescent="0.25">
      <c r="A136" s="203"/>
      <c r="B136" s="185" t="s">
        <v>457</v>
      </c>
      <c r="C136" s="185" t="s">
        <v>458</v>
      </c>
      <c r="D136" s="213">
        <v>0.85</v>
      </c>
      <c r="F136" s="203" t="s">
        <v>156</v>
      </c>
      <c r="G136" s="75" t="s">
        <v>192</v>
      </c>
      <c r="H136" s="75" t="s">
        <v>100</v>
      </c>
      <c r="I136" s="56">
        <f>I130+D147+D158</f>
        <v>143.64885573593355</v>
      </c>
    </row>
    <row r="137" spans="1:16" x14ac:dyDescent="0.25">
      <c r="A137" s="204" t="s">
        <v>149</v>
      </c>
      <c r="B137" s="31" t="s">
        <v>460</v>
      </c>
      <c r="C137" s="31" t="s">
        <v>459</v>
      </c>
      <c r="D137" s="61">
        <f>IFERROR(D97/D136,"0")</f>
        <v>176.47058823529412</v>
      </c>
      <c r="F137" s="203" t="s">
        <v>157</v>
      </c>
      <c r="G137" s="75" t="s">
        <v>336</v>
      </c>
      <c r="H137" s="75" t="s">
        <v>233</v>
      </c>
      <c r="I137" s="67">
        <f>I131+D159</f>
        <v>14.180825355985414</v>
      </c>
    </row>
    <row r="138" spans="1:16" x14ac:dyDescent="0.25">
      <c r="A138" s="203" t="s">
        <v>66</v>
      </c>
      <c r="B138" s="78" t="s">
        <v>315</v>
      </c>
      <c r="C138" s="78" t="s">
        <v>333</v>
      </c>
      <c r="D138" s="150">
        <f>D132-D134-D135-D137</f>
        <v>2853.5294117647059</v>
      </c>
      <c r="F138" s="204" t="s">
        <v>187</v>
      </c>
      <c r="G138" s="211" t="s">
        <v>151</v>
      </c>
      <c r="H138" s="211" t="s">
        <v>152</v>
      </c>
      <c r="I138" s="68">
        <f>I132+D148+D160</f>
        <v>1472.9249890400922</v>
      </c>
    </row>
    <row r="139" spans="1:16" x14ac:dyDescent="0.25">
      <c r="A139" s="202"/>
      <c r="B139" s="185"/>
      <c r="C139" s="83" t="s">
        <v>391</v>
      </c>
      <c r="D139" s="143"/>
      <c r="F139" s="20"/>
      <c r="G139" s="20"/>
      <c r="H139" s="20"/>
    </row>
    <row r="140" spans="1:16" x14ac:dyDescent="0.25">
      <c r="A140" s="203"/>
      <c r="B140" s="20" t="s">
        <v>385</v>
      </c>
      <c r="C140" s="20" t="s">
        <v>439</v>
      </c>
      <c r="D140" s="109">
        <v>220</v>
      </c>
      <c r="F140" s="296" t="s">
        <v>573</v>
      </c>
      <c r="G140" s="297"/>
      <c r="H140" s="297"/>
      <c r="I140" s="298"/>
      <c r="J140" s="153"/>
    </row>
    <row r="141" spans="1:16" x14ac:dyDescent="0.25">
      <c r="A141" s="203"/>
      <c r="B141" s="20" t="s">
        <v>386</v>
      </c>
      <c r="C141" s="20" t="s">
        <v>378</v>
      </c>
      <c r="D141" s="109">
        <v>210</v>
      </c>
      <c r="F141" s="201" t="s">
        <v>104</v>
      </c>
      <c r="G141" s="172" t="s">
        <v>41</v>
      </c>
      <c r="H141" s="172" t="s">
        <v>42</v>
      </c>
      <c r="I141" s="65" t="s">
        <v>31</v>
      </c>
    </row>
    <row r="142" spans="1:16" x14ac:dyDescent="0.25">
      <c r="A142" s="203"/>
      <c r="B142" s="20" t="s">
        <v>387</v>
      </c>
      <c r="C142" s="20" t="s">
        <v>379</v>
      </c>
      <c r="D142" s="109">
        <v>0</v>
      </c>
      <c r="F142" s="204" t="s">
        <v>188</v>
      </c>
      <c r="G142" s="211" t="s">
        <v>486</v>
      </c>
      <c r="H142" s="211" t="s">
        <v>272</v>
      </c>
      <c r="I142" s="150">
        <f>D145+D156</f>
        <v>600</v>
      </c>
    </row>
    <row r="143" spans="1:16" x14ac:dyDescent="0.25">
      <c r="A143" s="203"/>
      <c r="B143" s="20" t="s">
        <v>274</v>
      </c>
      <c r="C143" s="20" t="s">
        <v>87</v>
      </c>
      <c r="D143" s="109">
        <v>50</v>
      </c>
      <c r="F143" s="202" t="s">
        <v>189</v>
      </c>
      <c r="G143" s="164" t="s">
        <v>487</v>
      </c>
      <c r="H143" s="164" t="s">
        <v>99</v>
      </c>
      <c r="I143" s="71">
        <f>D146+D157</f>
        <v>417</v>
      </c>
    </row>
    <row r="144" spans="1:16" x14ac:dyDescent="0.25">
      <c r="A144" s="203"/>
      <c r="B144" s="20" t="s">
        <v>275</v>
      </c>
      <c r="C144" s="20" t="s">
        <v>440</v>
      </c>
      <c r="D144" s="109">
        <v>10</v>
      </c>
      <c r="F144" s="203" t="s">
        <v>190</v>
      </c>
      <c r="G144" s="75" t="s">
        <v>488</v>
      </c>
      <c r="H144" s="75" t="s">
        <v>100</v>
      </c>
      <c r="I144" s="56">
        <f>D147+D158</f>
        <v>65</v>
      </c>
    </row>
    <row r="145" spans="1:9" x14ac:dyDescent="0.25">
      <c r="A145" s="203" t="s">
        <v>67</v>
      </c>
      <c r="B145" s="78" t="s">
        <v>200</v>
      </c>
      <c r="C145" s="78" t="s">
        <v>550</v>
      </c>
      <c r="D145" s="81">
        <f>SUM(D140:D144)</f>
        <v>490</v>
      </c>
      <c r="F145" s="203" t="s">
        <v>193</v>
      </c>
      <c r="G145" s="75" t="s">
        <v>489</v>
      </c>
      <c r="H145" s="75" t="s">
        <v>233</v>
      </c>
      <c r="I145" s="67">
        <f>D159</f>
        <v>1</v>
      </c>
    </row>
    <row r="146" spans="1:9" ht="30" x14ac:dyDescent="0.25">
      <c r="A146" s="203"/>
      <c r="B146" s="20" t="s">
        <v>175</v>
      </c>
      <c r="C146" s="20" t="s">
        <v>95</v>
      </c>
      <c r="D146" s="60">
        <v>330</v>
      </c>
      <c r="F146" s="204" t="s">
        <v>194</v>
      </c>
      <c r="G146" s="211" t="s">
        <v>490</v>
      </c>
      <c r="H146" s="211" t="s">
        <v>152</v>
      </c>
      <c r="I146" s="68">
        <f>D148+D160</f>
        <v>117</v>
      </c>
    </row>
    <row r="147" spans="1:9" ht="30" x14ac:dyDescent="0.25">
      <c r="A147" s="203"/>
      <c r="B147" s="20" t="s">
        <v>176</v>
      </c>
      <c r="C147" s="20" t="s">
        <v>23</v>
      </c>
      <c r="D147" s="60">
        <v>60</v>
      </c>
      <c r="F147" s="20"/>
      <c r="G147" s="20"/>
      <c r="H147" s="20"/>
    </row>
    <row r="148" spans="1:9" ht="15" customHeight="1" x14ac:dyDescent="0.25">
      <c r="A148" s="203"/>
      <c r="B148" s="20" t="s">
        <v>145</v>
      </c>
      <c r="C148" s="20" t="s">
        <v>153</v>
      </c>
      <c r="D148" s="60">
        <v>100</v>
      </c>
      <c r="F148" s="299" t="s">
        <v>574</v>
      </c>
      <c r="G148" s="300"/>
      <c r="H148" s="300"/>
      <c r="I148" s="301"/>
    </row>
    <row r="149" spans="1:9" x14ac:dyDescent="0.25">
      <c r="A149" s="203" t="s">
        <v>150</v>
      </c>
      <c r="B149" s="78" t="s">
        <v>200</v>
      </c>
      <c r="C149" s="78" t="s">
        <v>551</v>
      </c>
      <c r="D149" s="81">
        <f>SUM(D146:D148)</f>
        <v>490</v>
      </c>
      <c r="F149" s="201" t="s">
        <v>104</v>
      </c>
      <c r="G149" s="172" t="s">
        <v>41</v>
      </c>
      <c r="H149" s="172" t="s">
        <v>42</v>
      </c>
      <c r="I149" s="65" t="s">
        <v>31</v>
      </c>
    </row>
    <row r="150" spans="1:9" x14ac:dyDescent="0.25">
      <c r="A150" s="52"/>
      <c r="B150" s="3"/>
      <c r="C150" s="30" t="s">
        <v>277</v>
      </c>
      <c r="D150" s="107">
        <f>D145-D149</f>
        <v>0</v>
      </c>
      <c r="F150" s="203" t="s">
        <v>195</v>
      </c>
      <c r="G150" s="75" t="s">
        <v>278</v>
      </c>
      <c r="H150" s="75" t="s">
        <v>389</v>
      </c>
      <c r="I150" s="79">
        <f>D121/D124</f>
        <v>0.9320987654320988</v>
      </c>
    </row>
    <row r="151" spans="1:9" ht="30" x14ac:dyDescent="0.25">
      <c r="A151" s="47"/>
      <c r="B151" s="18"/>
      <c r="C151" s="28" t="s">
        <v>374</v>
      </c>
      <c r="D151" s="112"/>
      <c r="F151" s="203" t="s">
        <v>491</v>
      </c>
      <c r="G151" s="75" t="s">
        <v>320</v>
      </c>
      <c r="H151" s="75" t="s">
        <v>325</v>
      </c>
      <c r="I151" s="80">
        <f>D132-I150*D127</f>
        <v>275.06172839506144</v>
      </c>
    </row>
    <row r="152" spans="1:9" ht="30" x14ac:dyDescent="0.25">
      <c r="A152" s="49"/>
      <c r="B152" s="2" t="s">
        <v>20</v>
      </c>
      <c r="C152" s="2" t="s">
        <v>561</v>
      </c>
      <c r="D152" s="109">
        <v>20</v>
      </c>
      <c r="F152" s="203" t="s">
        <v>492</v>
      </c>
      <c r="G152" s="75" t="s">
        <v>319</v>
      </c>
      <c r="H152" s="75" t="s">
        <v>326</v>
      </c>
      <c r="I152" s="81">
        <f>I151-D134-D135-D137</f>
        <v>38.59114015976732</v>
      </c>
    </row>
    <row r="153" spans="1:9" x14ac:dyDescent="0.25">
      <c r="A153" s="49"/>
      <c r="B153" s="2" t="s">
        <v>19</v>
      </c>
      <c r="C153" s="2" t="s">
        <v>18</v>
      </c>
      <c r="D153" s="109">
        <v>88</v>
      </c>
      <c r="F153" s="203" t="s">
        <v>493</v>
      </c>
      <c r="G153" s="75" t="s">
        <v>201</v>
      </c>
      <c r="H153" s="75" t="s">
        <v>552</v>
      </c>
      <c r="I153" s="81">
        <f>D145-I150*D140</f>
        <v>284.93827160493822</v>
      </c>
    </row>
    <row r="154" spans="1:9" x14ac:dyDescent="0.25">
      <c r="A154" s="49"/>
      <c r="B154" s="2" t="s">
        <v>368</v>
      </c>
      <c r="C154" s="2" t="s">
        <v>369</v>
      </c>
      <c r="D154" s="109">
        <v>1</v>
      </c>
      <c r="F154" s="204" t="s">
        <v>494</v>
      </c>
      <c r="G154" s="211" t="s">
        <v>269</v>
      </c>
      <c r="H154" s="211" t="s">
        <v>273</v>
      </c>
      <c r="I154" s="68">
        <f>I152+I153+D156-I123</f>
        <v>369.52941176470551</v>
      </c>
    </row>
    <row r="155" spans="1:9" x14ac:dyDescent="0.25">
      <c r="A155" s="49"/>
      <c r="B155" s="2" t="s">
        <v>371</v>
      </c>
      <c r="C155" s="2" t="s">
        <v>370</v>
      </c>
      <c r="D155" s="109">
        <v>1</v>
      </c>
    </row>
    <row r="156" spans="1:9" x14ac:dyDescent="0.25">
      <c r="A156" s="203" t="s">
        <v>68</v>
      </c>
      <c r="B156" s="29" t="s">
        <v>217</v>
      </c>
      <c r="C156" s="29" t="s">
        <v>270</v>
      </c>
      <c r="D156" s="81">
        <f>D153+D152+D154+D155</f>
        <v>110</v>
      </c>
    </row>
    <row r="157" spans="1:9" ht="30" x14ac:dyDescent="0.25">
      <c r="A157" s="203"/>
      <c r="B157" s="2" t="s">
        <v>177</v>
      </c>
      <c r="C157" s="2" t="s">
        <v>181</v>
      </c>
      <c r="D157" s="109">
        <v>87</v>
      </c>
    </row>
    <row r="158" spans="1:9" ht="45" x14ac:dyDescent="0.25">
      <c r="A158" s="203"/>
      <c r="B158" s="2" t="s">
        <v>178</v>
      </c>
      <c r="C158" s="2" t="s">
        <v>179</v>
      </c>
      <c r="D158" s="109">
        <v>5</v>
      </c>
    </row>
    <row r="159" spans="1:9" ht="30" x14ac:dyDescent="0.25">
      <c r="A159" s="203"/>
      <c r="B159" s="2" t="s">
        <v>218</v>
      </c>
      <c r="C159" s="2" t="s">
        <v>216</v>
      </c>
      <c r="D159" s="109">
        <v>1</v>
      </c>
    </row>
    <row r="160" spans="1:9" ht="30" x14ac:dyDescent="0.25">
      <c r="A160" s="203"/>
      <c r="B160" s="2" t="s">
        <v>146</v>
      </c>
      <c r="C160" s="2" t="s">
        <v>182</v>
      </c>
      <c r="D160" s="109">
        <v>17</v>
      </c>
    </row>
    <row r="161" spans="1:16" x14ac:dyDescent="0.25">
      <c r="A161" s="203" t="s">
        <v>71</v>
      </c>
      <c r="B161" s="29" t="s">
        <v>217</v>
      </c>
      <c r="C161" s="29" t="s">
        <v>271</v>
      </c>
      <c r="D161" s="81">
        <f>D157+D158+D159+D160</f>
        <v>110</v>
      </c>
    </row>
    <row r="162" spans="1:16" x14ac:dyDescent="0.25">
      <c r="A162" s="52"/>
      <c r="B162" s="3"/>
      <c r="C162" s="30" t="s">
        <v>180</v>
      </c>
      <c r="D162" s="107">
        <f>D156-D161</f>
        <v>0</v>
      </c>
    </row>
    <row r="164" spans="1:16" x14ac:dyDescent="0.25">
      <c r="A164" s="45"/>
      <c r="B164" s="7"/>
      <c r="C164" s="7"/>
      <c r="D164" s="7"/>
      <c r="E164" s="7"/>
      <c r="F164" s="7"/>
      <c r="G164" s="7"/>
      <c r="H164" s="7"/>
      <c r="I164" s="7"/>
      <c r="J164" s="7"/>
      <c r="K164" s="7"/>
      <c r="L164" s="7"/>
      <c r="M164" s="7"/>
      <c r="N164" s="7"/>
      <c r="O164" s="7"/>
      <c r="P164" s="7"/>
    </row>
    <row r="165" spans="1:16" ht="21.75" thickBot="1" x14ac:dyDescent="0.4">
      <c r="A165" s="6" t="s">
        <v>53</v>
      </c>
      <c r="C165" s="3"/>
      <c r="D165" s="3"/>
    </row>
    <row r="166" spans="1:16" ht="21" x14ac:dyDescent="0.35">
      <c r="A166" s="55" t="s">
        <v>104</v>
      </c>
      <c r="B166" s="26" t="s">
        <v>41</v>
      </c>
      <c r="C166" s="26" t="s">
        <v>42</v>
      </c>
      <c r="D166" s="65" t="s">
        <v>31</v>
      </c>
      <c r="F166" s="25" t="s">
        <v>104</v>
      </c>
      <c r="G166" s="26" t="s">
        <v>41</v>
      </c>
      <c r="H166" s="26" t="s">
        <v>42</v>
      </c>
      <c r="I166" s="65" t="s">
        <v>31</v>
      </c>
      <c r="K166" s="158" t="s">
        <v>69</v>
      </c>
      <c r="L166" s="160"/>
      <c r="M166" s="160"/>
      <c r="N166" s="160"/>
      <c r="O166" s="160"/>
      <c r="P166" s="162"/>
    </row>
    <row r="167" spans="1:16" ht="15.75" x14ac:dyDescent="0.25">
      <c r="A167" s="59"/>
      <c r="B167" s="21"/>
      <c r="C167" s="83" t="s">
        <v>93</v>
      </c>
      <c r="D167" s="22"/>
      <c r="F167" s="52" t="s">
        <v>81</v>
      </c>
      <c r="G167" s="30" t="s">
        <v>340</v>
      </c>
      <c r="H167" s="76" t="s">
        <v>341</v>
      </c>
      <c r="I167" s="150">
        <f>D176+D180+D189</f>
        <v>213.94066882416396</v>
      </c>
      <c r="K167" s="263" t="s">
        <v>576</v>
      </c>
      <c r="L167" s="264"/>
      <c r="M167" s="264"/>
      <c r="N167" s="264"/>
      <c r="O167" s="264"/>
      <c r="P167" s="265"/>
    </row>
    <row r="168" spans="1:16" ht="15.75" customHeight="1" x14ac:dyDescent="0.25">
      <c r="A168" s="103"/>
      <c r="B168" s="2" t="s">
        <v>316</v>
      </c>
      <c r="C168" s="9" t="s">
        <v>87</v>
      </c>
      <c r="D168" s="104">
        <f>D130</f>
        <v>50</v>
      </c>
      <c r="K168" s="266" t="s">
        <v>575</v>
      </c>
      <c r="L168" s="267"/>
      <c r="M168" s="267"/>
      <c r="N168" s="267"/>
      <c r="O168" s="267"/>
      <c r="P168" s="268"/>
    </row>
    <row r="169" spans="1:16" x14ac:dyDescent="0.25">
      <c r="A169" s="103"/>
      <c r="B169" s="2" t="s">
        <v>317</v>
      </c>
      <c r="C169" s="2" t="s">
        <v>440</v>
      </c>
      <c r="D169" s="104">
        <f>D131</f>
        <v>20</v>
      </c>
      <c r="F169" s="25" t="s">
        <v>104</v>
      </c>
      <c r="G169" s="26" t="s">
        <v>41</v>
      </c>
      <c r="H169" s="26" t="s">
        <v>42</v>
      </c>
      <c r="I169" s="65" t="s">
        <v>31</v>
      </c>
      <c r="K169" s="231"/>
      <c r="L169" s="232"/>
      <c r="M169" s="123" t="s">
        <v>543</v>
      </c>
      <c r="N169" s="233" t="s">
        <v>543</v>
      </c>
      <c r="O169" s="123" t="s">
        <v>544</v>
      </c>
      <c r="P169" s="215" t="s">
        <v>544</v>
      </c>
    </row>
    <row r="170" spans="1:16" ht="30" x14ac:dyDescent="0.25">
      <c r="A170" s="52" t="s">
        <v>106</v>
      </c>
      <c r="B170" s="30" t="s">
        <v>330</v>
      </c>
      <c r="C170" s="30" t="s">
        <v>334</v>
      </c>
      <c r="D170" s="70">
        <f>D168+D169</f>
        <v>70</v>
      </c>
      <c r="F170" s="203" t="s">
        <v>101</v>
      </c>
      <c r="G170" s="75" t="s">
        <v>327</v>
      </c>
      <c r="H170" s="75" t="s">
        <v>25</v>
      </c>
      <c r="I170" s="54">
        <f>D176*I112/D100</f>
        <v>31.992644463855683</v>
      </c>
      <c r="K170" s="186" t="s">
        <v>525</v>
      </c>
      <c r="L170" s="176" t="s">
        <v>426</v>
      </c>
      <c r="M170" s="187" t="s">
        <v>104</v>
      </c>
      <c r="N170" s="176" t="s">
        <v>349</v>
      </c>
      <c r="O170" s="187" t="s">
        <v>104</v>
      </c>
      <c r="P170" s="216" t="s">
        <v>349</v>
      </c>
    </row>
    <row r="171" spans="1:16" ht="75" x14ac:dyDescent="0.25">
      <c r="A171" s="203"/>
      <c r="B171" s="20" t="s">
        <v>461</v>
      </c>
      <c r="C171" s="20" t="s">
        <v>593</v>
      </c>
      <c r="D171" s="213">
        <v>0.9</v>
      </c>
      <c r="F171" s="203" t="s">
        <v>102</v>
      </c>
      <c r="G171" s="75" t="s">
        <v>328</v>
      </c>
      <c r="H171" s="75" t="s">
        <v>26</v>
      </c>
      <c r="I171" s="50">
        <f>D176*I113/D100</f>
        <v>1.7898919396762325</v>
      </c>
      <c r="K171" s="190" t="s">
        <v>539</v>
      </c>
      <c r="L171" s="166" t="s">
        <v>562</v>
      </c>
      <c r="M171" s="123" t="s">
        <v>510</v>
      </c>
      <c r="N171" s="193">
        <f>1000*I167/D56</f>
        <v>0.50938254481943801</v>
      </c>
      <c r="O171" s="123" t="s">
        <v>516</v>
      </c>
      <c r="P171" s="194">
        <f>1000*I183/D56</f>
        <v>0.35476190476190478</v>
      </c>
    </row>
    <row r="172" spans="1:16" ht="30" x14ac:dyDescent="0.25">
      <c r="A172" s="203" t="s">
        <v>97</v>
      </c>
      <c r="B172" s="78" t="s">
        <v>585</v>
      </c>
      <c r="C172" s="78" t="s">
        <v>587</v>
      </c>
      <c r="D172" s="228">
        <f>IFERROR((D170/D132)*(D94/D171),"0")</f>
        <v>1.2585400934915498</v>
      </c>
      <c r="F172" s="203" t="s">
        <v>103</v>
      </c>
      <c r="G172" s="75" t="s">
        <v>338</v>
      </c>
      <c r="H172" s="75" t="s">
        <v>234</v>
      </c>
      <c r="I172" s="50">
        <f>D176*I114/D100</f>
        <v>0.29996943810816867</v>
      </c>
      <c r="K172" s="190" t="s">
        <v>535</v>
      </c>
      <c r="L172" s="177" t="s">
        <v>430</v>
      </c>
      <c r="M172" s="123" t="s">
        <v>511</v>
      </c>
      <c r="N172" s="191">
        <f>1000*I176/D50</f>
        <v>0.31998161115963919</v>
      </c>
      <c r="O172" s="123" t="s">
        <v>517</v>
      </c>
      <c r="P172" s="192">
        <f>1000*I184/D50</f>
        <v>0.24</v>
      </c>
    </row>
    <row r="173" spans="1:16" ht="30" x14ac:dyDescent="0.25">
      <c r="A173" s="212" t="s">
        <v>72</v>
      </c>
      <c r="B173" s="31" t="s">
        <v>462</v>
      </c>
      <c r="C173" s="31" t="s">
        <v>588</v>
      </c>
      <c r="D173" s="229">
        <f>IFERROR((D170/D132)*(D95/D171),"0")</f>
        <v>2.5170801869830998E-2</v>
      </c>
      <c r="F173" s="204" t="s">
        <v>161</v>
      </c>
      <c r="G173" s="211" t="s">
        <v>329</v>
      </c>
      <c r="H173" s="211" t="s">
        <v>160</v>
      </c>
      <c r="I173" s="72">
        <f>D176*I115/D100</f>
        <v>30.858162982523879</v>
      </c>
      <c r="K173" s="190" t="s">
        <v>536</v>
      </c>
      <c r="L173" s="177" t="s">
        <v>430</v>
      </c>
      <c r="M173" s="123" t="s">
        <v>512</v>
      </c>
      <c r="N173" s="193">
        <f>IFERROR(1000*I177/D51,"-")</f>
        <v>0.83579783879352454</v>
      </c>
      <c r="O173" s="123" t="s">
        <v>518</v>
      </c>
      <c r="P173" s="221">
        <f>IFERROR(1000*I185/D51,"-")</f>
        <v>0.8</v>
      </c>
    </row>
    <row r="174" spans="1:16" ht="60" x14ac:dyDescent="0.25">
      <c r="A174" s="20"/>
      <c r="B174" s="20" t="s">
        <v>463</v>
      </c>
      <c r="C174" s="20" t="s">
        <v>553</v>
      </c>
      <c r="D174" s="230">
        <v>0.9</v>
      </c>
      <c r="E174" s="13"/>
      <c r="F174" s="20"/>
      <c r="G174" s="20"/>
      <c r="H174" s="20"/>
      <c r="K174" s="190" t="s">
        <v>540</v>
      </c>
      <c r="L174" s="177" t="s">
        <v>430</v>
      </c>
      <c r="M174" s="123" t="s">
        <v>513</v>
      </c>
      <c r="N174" s="191">
        <f>IFERROR(1000*(I176/D50+I177/D51),"-")</f>
        <v>1.155779449953164</v>
      </c>
      <c r="O174" s="123" t="s">
        <v>519</v>
      </c>
      <c r="P174" s="192">
        <f>IFERROR(1000*(I184/D50+I185/D51),"-")</f>
        <v>1.04</v>
      </c>
    </row>
    <row r="175" spans="1:16" ht="15.75" x14ac:dyDescent="0.25">
      <c r="A175" s="212" t="s">
        <v>73</v>
      </c>
      <c r="B175" s="31" t="s">
        <v>565</v>
      </c>
      <c r="C175" s="31" t="s">
        <v>554</v>
      </c>
      <c r="D175" s="229">
        <f>IFERROR((D170/D132)*(D97/D174),"0")</f>
        <v>3.7756202804746493</v>
      </c>
      <c r="E175" s="13"/>
      <c r="F175" s="227" t="s">
        <v>104</v>
      </c>
      <c r="G175" s="172" t="s">
        <v>41</v>
      </c>
      <c r="H175" s="172" t="s">
        <v>42</v>
      </c>
      <c r="I175" s="65" t="s">
        <v>31</v>
      </c>
      <c r="K175" s="190" t="s">
        <v>538</v>
      </c>
      <c r="L175" s="178" t="s">
        <v>431</v>
      </c>
      <c r="M175" s="123" t="s">
        <v>514</v>
      </c>
      <c r="N175" s="193">
        <f>IFERROR(1000*(I178/D52+I179/D54),"-")</f>
        <v>0.13353404753385134</v>
      </c>
      <c r="O175" s="123" t="s">
        <v>523</v>
      </c>
      <c r="P175" s="194">
        <f>IFERROR(1000*(I186/D52+I187/D54),"-")</f>
        <v>3.513513513513513E-2</v>
      </c>
    </row>
    <row r="176" spans="1:16" ht="16.5" thickBot="1" x14ac:dyDescent="0.3">
      <c r="A176" s="203" t="s">
        <v>74</v>
      </c>
      <c r="B176" s="31" t="s">
        <v>331</v>
      </c>
      <c r="C176" s="31" t="s">
        <v>335</v>
      </c>
      <c r="D176" s="150">
        <f>D170-D172-D173-D175</f>
        <v>64.940668824163964</v>
      </c>
      <c r="E176" s="13"/>
      <c r="F176" s="203" t="s">
        <v>162</v>
      </c>
      <c r="G176" s="75" t="s">
        <v>291</v>
      </c>
      <c r="H176" s="75" t="s">
        <v>78</v>
      </c>
      <c r="I176" s="56">
        <f>I170+D181+D190</f>
        <v>127.99264446385568</v>
      </c>
      <c r="J176" s="152"/>
      <c r="K176" s="195" t="s">
        <v>537</v>
      </c>
      <c r="L176" s="179" t="s">
        <v>431</v>
      </c>
      <c r="M176" s="196" t="s">
        <v>515</v>
      </c>
      <c r="N176" s="234">
        <f>1000*(I179/D54)</f>
        <v>0.11853557562844291</v>
      </c>
      <c r="O176" s="196" t="s">
        <v>563</v>
      </c>
      <c r="P176" s="235">
        <f>1000*(I187/D54)</f>
        <v>3.513513513513513E-2</v>
      </c>
    </row>
    <row r="177" spans="1:10" ht="15.75" x14ac:dyDescent="0.25">
      <c r="A177" s="209"/>
      <c r="B177" s="156"/>
      <c r="C177" s="224" t="s">
        <v>279</v>
      </c>
      <c r="D177" s="102"/>
      <c r="E177" s="13"/>
      <c r="F177" s="203" t="s">
        <v>165</v>
      </c>
      <c r="G177" s="75" t="s">
        <v>292</v>
      </c>
      <c r="H177" s="75" t="s">
        <v>79</v>
      </c>
      <c r="I177" s="54">
        <f>I171+D182+D191</f>
        <v>41.789891939676231</v>
      </c>
    </row>
    <row r="178" spans="1:10" ht="15.75" x14ac:dyDescent="0.25">
      <c r="A178" s="203"/>
      <c r="B178" s="20" t="s">
        <v>274</v>
      </c>
      <c r="C178" s="20" t="s">
        <v>87</v>
      </c>
      <c r="D178" s="104">
        <f>D143</f>
        <v>50</v>
      </c>
      <c r="E178" s="13"/>
      <c r="F178" s="203" t="s">
        <v>166</v>
      </c>
      <c r="G178" s="75" t="s">
        <v>339</v>
      </c>
      <c r="H178" s="75" t="s">
        <v>235</v>
      </c>
      <c r="I178" s="63">
        <f>I172+D192</f>
        <v>0.29996943810816867</v>
      </c>
    </row>
    <row r="179" spans="1:10" ht="15.75" x14ac:dyDescent="0.25">
      <c r="A179" s="203"/>
      <c r="B179" s="20" t="s">
        <v>275</v>
      </c>
      <c r="C179" s="20" t="s">
        <v>440</v>
      </c>
      <c r="D179" s="104">
        <f>D144</f>
        <v>10</v>
      </c>
      <c r="E179" s="13"/>
      <c r="F179" s="204" t="s">
        <v>167</v>
      </c>
      <c r="G179" s="211" t="s">
        <v>164</v>
      </c>
      <c r="H179" s="211" t="s">
        <v>163</v>
      </c>
      <c r="I179" s="53">
        <f>I173+D183+D193</f>
        <v>43.858162982523879</v>
      </c>
    </row>
    <row r="180" spans="1:10" ht="15.75" x14ac:dyDescent="0.25">
      <c r="A180" s="203" t="s">
        <v>75</v>
      </c>
      <c r="B180" s="78" t="s">
        <v>285</v>
      </c>
      <c r="C180" s="78" t="s">
        <v>286</v>
      </c>
      <c r="D180" s="66">
        <f>D178+D179</f>
        <v>60</v>
      </c>
      <c r="E180" s="13"/>
      <c r="F180" s="20"/>
      <c r="G180" s="20"/>
      <c r="H180" s="20"/>
    </row>
    <row r="181" spans="1:10" ht="30" x14ac:dyDescent="0.25">
      <c r="A181" s="203"/>
      <c r="B181" s="20" t="s">
        <v>219</v>
      </c>
      <c r="C181" s="20" t="s">
        <v>94</v>
      </c>
      <c r="D181" s="60">
        <v>20</v>
      </c>
      <c r="E181" s="13"/>
      <c r="F181" s="296" t="s">
        <v>577</v>
      </c>
      <c r="G181" s="297"/>
      <c r="H181" s="297"/>
      <c r="I181" s="298"/>
    </row>
    <row r="182" spans="1:10" ht="30" x14ac:dyDescent="0.25">
      <c r="A182" s="203"/>
      <c r="B182" s="20" t="s">
        <v>220</v>
      </c>
      <c r="C182" s="20" t="s">
        <v>96</v>
      </c>
      <c r="D182" s="60">
        <v>35</v>
      </c>
      <c r="E182" s="13"/>
      <c r="F182" s="227" t="s">
        <v>104</v>
      </c>
      <c r="G182" s="172" t="s">
        <v>41</v>
      </c>
      <c r="H182" s="172" t="s">
        <v>42</v>
      </c>
      <c r="I182" s="65" t="s">
        <v>31</v>
      </c>
    </row>
    <row r="183" spans="1:10" ht="15.75" x14ac:dyDescent="0.25">
      <c r="A183" s="203"/>
      <c r="B183" s="20" t="s">
        <v>221</v>
      </c>
      <c r="C183" s="20" t="s">
        <v>158</v>
      </c>
      <c r="D183" s="106">
        <v>5</v>
      </c>
      <c r="E183" s="13"/>
      <c r="F183" s="204" t="s">
        <v>168</v>
      </c>
      <c r="G183" s="211" t="s">
        <v>505</v>
      </c>
      <c r="H183" s="211" t="s">
        <v>341</v>
      </c>
      <c r="I183" s="150">
        <f>D180+D189</f>
        <v>149</v>
      </c>
    </row>
    <row r="184" spans="1:10" ht="15.75" x14ac:dyDescent="0.25">
      <c r="A184" s="203" t="s">
        <v>76</v>
      </c>
      <c r="B184" s="78" t="s">
        <v>285</v>
      </c>
      <c r="C184" s="78" t="s">
        <v>287</v>
      </c>
      <c r="D184" s="66">
        <f>SUM(D181:D183)</f>
        <v>60</v>
      </c>
      <c r="E184" s="13"/>
      <c r="F184" s="203" t="s">
        <v>169</v>
      </c>
      <c r="G184" s="75" t="s">
        <v>506</v>
      </c>
      <c r="H184" s="75" t="s">
        <v>78</v>
      </c>
      <c r="I184" s="56">
        <f>D181+D190</f>
        <v>96</v>
      </c>
      <c r="J184" s="154"/>
    </row>
    <row r="185" spans="1:10" ht="15.75" x14ac:dyDescent="0.25">
      <c r="A185" s="204"/>
      <c r="B185" s="214"/>
      <c r="C185" s="31" t="s">
        <v>88</v>
      </c>
      <c r="D185" s="107">
        <f>D180-D184</f>
        <v>0</v>
      </c>
      <c r="E185" s="13"/>
      <c r="F185" s="203" t="s">
        <v>196</v>
      </c>
      <c r="G185" s="75" t="s">
        <v>507</v>
      </c>
      <c r="H185" s="75" t="s">
        <v>79</v>
      </c>
      <c r="I185" s="54">
        <f>D182+D191</f>
        <v>40</v>
      </c>
    </row>
    <row r="186" spans="1:10" ht="30" x14ac:dyDescent="0.25">
      <c r="A186" s="209"/>
      <c r="B186" s="210"/>
      <c r="C186" s="225" t="s">
        <v>373</v>
      </c>
      <c r="D186" s="108"/>
      <c r="E186" s="13"/>
      <c r="F186" s="203" t="s">
        <v>464</v>
      </c>
      <c r="G186" s="75" t="s">
        <v>508</v>
      </c>
      <c r="H186" s="75" t="s">
        <v>235</v>
      </c>
      <c r="I186" s="63">
        <f>D192</f>
        <v>0</v>
      </c>
    </row>
    <row r="187" spans="1:10" ht="15.75" x14ac:dyDescent="0.25">
      <c r="A187" s="226"/>
      <c r="B187" s="20" t="s">
        <v>19</v>
      </c>
      <c r="C187" s="20" t="s">
        <v>18</v>
      </c>
      <c r="D187" s="104">
        <f>D153</f>
        <v>88</v>
      </c>
      <c r="E187" s="13"/>
      <c r="F187" s="204" t="s">
        <v>465</v>
      </c>
      <c r="G187" s="211" t="s">
        <v>509</v>
      </c>
      <c r="H187" s="211" t="s">
        <v>163</v>
      </c>
      <c r="I187" s="53">
        <f>D183+D193</f>
        <v>13</v>
      </c>
    </row>
    <row r="188" spans="1:10" ht="15.75" x14ac:dyDescent="0.25">
      <c r="A188" s="226"/>
      <c r="B188" s="20" t="s">
        <v>371</v>
      </c>
      <c r="C188" s="20" t="s">
        <v>372</v>
      </c>
      <c r="D188" s="104">
        <f>D155</f>
        <v>1</v>
      </c>
      <c r="E188" s="13"/>
    </row>
    <row r="189" spans="1:10" x14ac:dyDescent="0.25">
      <c r="A189" s="203" t="s">
        <v>77</v>
      </c>
      <c r="B189" s="78" t="s">
        <v>290</v>
      </c>
      <c r="C189" s="78" t="s">
        <v>288</v>
      </c>
      <c r="D189" s="66">
        <f>D187+D188</f>
        <v>89</v>
      </c>
    </row>
    <row r="190" spans="1:10" ht="30" x14ac:dyDescent="0.25">
      <c r="A190" s="203"/>
      <c r="B190" s="20" t="s">
        <v>280</v>
      </c>
      <c r="C190" s="20" t="s">
        <v>98</v>
      </c>
      <c r="D190" s="60">
        <v>76</v>
      </c>
    </row>
    <row r="191" spans="1:10" ht="45" x14ac:dyDescent="0.25">
      <c r="A191" s="203"/>
      <c r="B191" s="20" t="s">
        <v>281</v>
      </c>
      <c r="C191" s="20" t="s">
        <v>159</v>
      </c>
      <c r="D191" s="60">
        <v>5</v>
      </c>
    </row>
    <row r="192" spans="1:10" ht="30" x14ac:dyDescent="0.25">
      <c r="A192" s="203"/>
      <c r="B192" s="20" t="s">
        <v>337</v>
      </c>
      <c r="C192" s="20" t="s">
        <v>283</v>
      </c>
      <c r="D192" s="60">
        <v>0</v>
      </c>
    </row>
    <row r="193" spans="1:16" ht="30" x14ac:dyDescent="0.25">
      <c r="A193" s="203"/>
      <c r="B193" s="20" t="s">
        <v>282</v>
      </c>
      <c r="C193" s="20" t="s">
        <v>284</v>
      </c>
      <c r="D193" s="60">
        <v>8</v>
      </c>
    </row>
    <row r="194" spans="1:16" x14ac:dyDescent="0.25">
      <c r="A194" s="203" t="s">
        <v>80</v>
      </c>
      <c r="B194" s="78" t="s">
        <v>290</v>
      </c>
      <c r="C194" s="78" t="s">
        <v>289</v>
      </c>
      <c r="D194" s="66">
        <f>D190+D191+D192+D193</f>
        <v>89</v>
      </c>
    </row>
    <row r="195" spans="1:16" x14ac:dyDescent="0.25">
      <c r="A195" s="52"/>
      <c r="B195" s="3"/>
      <c r="C195" s="30" t="s">
        <v>88</v>
      </c>
      <c r="D195" s="107">
        <f>D189-D194</f>
        <v>0</v>
      </c>
    </row>
    <row r="197" spans="1:16" x14ac:dyDescent="0.25">
      <c r="A197" s="45"/>
      <c r="B197" s="7"/>
      <c r="C197" s="7"/>
      <c r="D197" s="7"/>
      <c r="E197" s="7"/>
      <c r="F197" s="7"/>
      <c r="G197" s="7"/>
      <c r="H197" s="7"/>
      <c r="I197" s="7"/>
      <c r="J197" s="7"/>
      <c r="K197" s="7"/>
      <c r="L197" s="7"/>
      <c r="M197" s="7"/>
      <c r="N197" s="7"/>
      <c r="O197" s="7"/>
      <c r="P197" s="7"/>
    </row>
    <row r="198" spans="1:16" x14ac:dyDescent="0.25">
      <c r="A198" s="46" t="s">
        <v>82</v>
      </c>
    </row>
    <row r="199" spans="1:16" x14ac:dyDescent="0.25">
      <c r="A199" s="273"/>
      <c r="B199" s="274"/>
      <c r="C199" s="274"/>
      <c r="D199" s="274"/>
      <c r="E199" s="274"/>
      <c r="F199" s="274"/>
      <c r="G199" s="274"/>
      <c r="H199" s="274"/>
      <c r="I199" s="275"/>
      <c r="J199" s="180"/>
    </row>
    <row r="200" spans="1:16" x14ac:dyDescent="0.25">
      <c r="A200" s="276"/>
      <c r="B200" s="277"/>
      <c r="C200" s="277"/>
      <c r="D200" s="277"/>
      <c r="E200" s="277"/>
      <c r="F200" s="277"/>
      <c r="G200" s="277"/>
      <c r="H200" s="277"/>
      <c r="I200" s="278"/>
    </row>
    <row r="201" spans="1:16" x14ac:dyDescent="0.25">
      <c r="A201" s="276"/>
      <c r="B201" s="277"/>
      <c r="C201" s="277"/>
      <c r="D201" s="277"/>
      <c r="E201" s="277"/>
      <c r="F201" s="277"/>
      <c r="G201" s="277"/>
      <c r="H201" s="277"/>
      <c r="I201" s="278"/>
    </row>
    <row r="202" spans="1:16" x14ac:dyDescent="0.25">
      <c r="A202" s="279"/>
      <c r="B202" s="280"/>
      <c r="C202" s="280"/>
      <c r="D202" s="280"/>
      <c r="E202" s="280"/>
      <c r="F202" s="280"/>
      <c r="G202" s="280"/>
      <c r="H202" s="280"/>
      <c r="I202" s="281"/>
    </row>
  </sheetData>
  <dataConsolidate/>
  <mergeCells count="13">
    <mergeCell ref="A199:I202"/>
    <mergeCell ref="A42:H45"/>
    <mergeCell ref="A10:F10"/>
    <mergeCell ref="A41:H41"/>
    <mergeCell ref="F181:I181"/>
    <mergeCell ref="F140:I140"/>
    <mergeCell ref="F148:I148"/>
    <mergeCell ref="K120:P120"/>
    <mergeCell ref="K167:P167"/>
    <mergeCell ref="K168:P168"/>
    <mergeCell ref="K61:P61"/>
    <mergeCell ref="K62:P62"/>
    <mergeCell ref="K121:P121"/>
  </mergeCells>
  <phoneticPr fontId="11" type="noConversion"/>
  <dataValidations disablePrompts="1" count="12">
    <dataValidation type="list" allowBlank="1" showInputMessage="1" showErrorMessage="1" sqref="D23" xr:uid="{75034474-4B06-438A-BD17-FA2BC89E6490}">
      <formula1>"(Välj),Inköpta,Egenproducerade,I huvudsak inköpta,I huvudsak egenproducerade"</formula1>
    </dataValidation>
    <dataValidation type="list" allowBlank="1" showInputMessage="1" showErrorMessage="1" sqref="D20:D21" xr:uid="{4FDF5801-A724-4569-B009-2BC11C347439}">
      <formula1>"(Välj),ECF-blekt,TCF-blekt,Oblekt"</formula1>
    </dataValidation>
    <dataValidation type="list" allowBlank="1" showInputMessage="1" showErrorMessage="1" sqref="D28:D30" xr:uid="{95BA0DC2-B59E-4274-844F-8459668A6095}">
      <formula1>"(Välj),Förpackningskartong,Förpackningspapper,Wellpappmaterial,Tryckpapper,Tidningspapper,Mjukpapper,Övrigt (ange i kommentarsfältet)"</formula1>
    </dataValidation>
    <dataValidation type="list" allowBlank="1" showInputMessage="1" showErrorMessage="1" sqref="D14:D16" xr:uid="{2E6DB73E-ADF3-4F14-A037-FF1A1CA359E3}">
      <formula1>"(Välj),Löv - rundved,Löv - flis,Barr - rundved,Barr - flis"</formula1>
    </dataValidation>
    <dataValidation type="list" allowBlank="1" showInputMessage="1" showErrorMessage="1" sqref="D18" xr:uid="{0C0776B0-A534-4FAF-B1C1-4381C85CFE1C}">
      <formula1>"(Välj),pappersmassa,dissolvingmassa,annat"</formula1>
    </dataValidation>
    <dataValidation type="list" allowBlank="1" showInputMessage="1" showErrorMessage="1" sqref="D31" xr:uid="{F6B075DD-7BF5-4EE1-99AF-EB92AAA64C45}">
      <formula1>"(Välj),Fyllmedel,Bestrykning"</formula1>
    </dataValidation>
    <dataValidation type="list" allowBlank="1" showInputMessage="1" showErrorMessage="1" sqref="D34" xr:uid="{79C1684B-66C2-4C31-B9C1-75C51C27502F}">
      <formula1>"(Välj),Kondens,Mottryck"</formula1>
    </dataValidation>
    <dataValidation type="list" allowBlank="1" showInputMessage="1" showErrorMessage="1" sqref="D26" xr:uid="{6CDF29B5-A838-4B94-9C36-5C88D0EF4C9F}">
      <formula1>"(Välj), I huvudsak egenproducerad kalk, Betydande mängd inköpt kalk"</formula1>
    </dataValidation>
    <dataValidation type="list" allowBlank="1" showInputMessage="1" showErrorMessage="1" sqref="G14" xr:uid="{A4BBB7CF-5B07-42F2-94D3-490FD41E275E}">
      <formula1>"(Välj),m3fub,ton,%,Annan enhet (ange i kommentarsfältet)"</formula1>
    </dataValidation>
    <dataValidation type="list" allowBlank="1" showInputMessage="1" showErrorMessage="1" sqref="D39" xr:uid="{011993A8-B316-4B56-9DE9-BB0DCFA56380}">
      <formula1>"(Välj),Lignin,Metanol,Annan (ange i kommentarsfältet),Ingen"</formula1>
    </dataValidation>
    <dataValidation type="list" allowBlank="1" showInputMessage="1" showErrorMessage="1" sqref="G39:G40" xr:uid="{D4493BB4-8626-48C5-8D9D-3A2B9B62C8D1}">
      <formula1>"(Välj),TJ,ton,m3,Nm3,Annan enhet (ange i kommentarsfältet)"</formula1>
    </dataValidation>
    <dataValidation type="list" allowBlank="1" showInputMessage="1" showErrorMessage="1" sqref="D33" xr:uid="{CF680490-8595-4536-A57A-6DDA101B7498}">
      <formula1>"(Välj),Mottryck,Kondens,"</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14C54-7EC3-4DAE-8468-7964E4810CD9}"/>
</file>

<file path=customXml/itemProps2.xml><?xml version="1.0" encoding="utf-8"?>
<ds:datastoreItem xmlns:ds="http://schemas.openxmlformats.org/officeDocument/2006/customXml" ds:itemID="{361DA22C-4B44-4EF0-A234-87050135D68E}">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c5c7cef5-72b0-4130-9324-a6e7454301c2"/>
    <ds:schemaRef ds:uri="http://schemas.microsoft.com/office/2006/documentManagement/types"/>
    <ds:schemaRef ds:uri="http://schemas.microsoft.com/office/infopath/2007/PartnerControls"/>
    <ds:schemaRef ds:uri="f51bab5f-0ed0-40a8-8f36-6fe936a64348"/>
    <ds:schemaRef ds:uri="http://www.w3.org/XML/1998/namespace"/>
    <ds:schemaRef ds:uri="http://purl.org/dc/dcmitype/"/>
  </ds:schemaRefs>
</ds:datastoreItem>
</file>

<file path=customXml/itemProps3.xml><?xml version="1.0" encoding="utf-8"?>
<ds:datastoreItem xmlns:ds="http://schemas.openxmlformats.org/officeDocument/2006/customXml" ds:itemID="{A0352D96-B995-4E98-A4F4-10A3F690BA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Sulfat+Papper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Elin  Svensson</cp:lastModifiedBy>
  <dcterms:created xsi:type="dcterms:W3CDTF">2018-09-17T06:42:26Z</dcterms:created>
  <dcterms:modified xsi:type="dcterms:W3CDTF">2025-07-08T06:34:20Z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