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57" documentId="8_{FF45109A-B903-458B-B3D4-9746F2505563}" xr6:coauthVersionLast="47" xr6:coauthVersionMax="47" xr10:uidLastSave="{4B6F8F73-C62B-43DD-9AD1-E5AF78C83271}"/>
  <bookViews>
    <workbookView xWindow="-120" yWindow="-120" windowWidth="29040" windowHeight="15720" xr2:uid="{81CFD70E-8034-4963-A311-A79E2EEFE8E7}"/>
  </bookViews>
  <sheets>
    <sheet name="Sulfat, NSSC och RCF+Papper"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0" i="2" l="1"/>
  <c r="N245" i="2"/>
  <c r="P191" i="2"/>
  <c r="N133" i="2"/>
  <c r="P98" i="2"/>
  <c r="P95" i="2"/>
  <c r="P92" i="2"/>
  <c r="P245" i="2"/>
  <c r="P242" i="2"/>
  <c r="N242" i="2"/>
  <c r="P195" i="2"/>
  <c r="P192" i="2"/>
  <c r="P189" i="2"/>
  <c r="P188" i="2"/>
  <c r="N130" i="2"/>
  <c r="N98" i="2"/>
  <c r="N95" i="2"/>
  <c r="P94" i="2"/>
  <c r="N94" i="2"/>
  <c r="N92" i="2"/>
  <c r="P91" i="2"/>
  <c r="N91" i="2"/>
  <c r="D242" i="2"/>
  <c r="D245" i="2" l="1"/>
  <c r="I228" i="2"/>
  <c r="I186" i="2"/>
  <c r="I269" i="2" l="1"/>
  <c r="P248" i="2" s="1"/>
  <c r="I268" i="2"/>
  <c r="I267" i="2"/>
  <c r="I266" i="2"/>
  <c r="I265" i="2"/>
  <c r="P247" i="2" s="1"/>
  <c r="P249" i="2" l="1"/>
  <c r="P250" i="2"/>
  <c r="I223" i="2"/>
  <c r="P194" i="2" s="1"/>
  <c r="I221" i="2"/>
  <c r="I220" i="2"/>
  <c r="I219" i="2"/>
  <c r="P193" i="2" s="1"/>
  <c r="I222" i="2"/>
  <c r="P196" i="2" l="1"/>
  <c r="D173" i="2"/>
  <c r="D198" i="2" l="1"/>
  <c r="D197" i="2"/>
  <c r="D201" i="2" l="1"/>
  <c r="I229" i="2"/>
  <c r="I231" i="2" s="1"/>
  <c r="D90" i="2"/>
  <c r="P100" i="2" s="1"/>
  <c r="N100" i="2" l="1"/>
  <c r="D195" i="2" l="1"/>
  <c r="D248" i="2" l="1"/>
  <c r="D174" i="2" l="1"/>
  <c r="D69" i="2" l="1"/>
  <c r="I203" i="2" l="1"/>
  <c r="I218" i="2" s="1"/>
  <c r="I202" i="2"/>
  <c r="I217" i="2" s="1"/>
  <c r="I249" i="2"/>
  <c r="I264" i="2" s="1"/>
  <c r="I248" i="2"/>
  <c r="I263" i="2" s="1"/>
  <c r="I134" i="2"/>
  <c r="I133" i="2"/>
  <c r="D175" i="2"/>
  <c r="D177" i="2"/>
  <c r="D152" i="2"/>
  <c r="D176" i="2"/>
  <c r="D151" i="2"/>
  <c r="D115" i="2"/>
  <c r="D113" i="2"/>
  <c r="D114" i="2"/>
  <c r="D116" i="2"/>
  <c r="D230" i="2"/>
  <c r="D99" i="2"/>
  <c r="D80" i="2"/>
  <c r="N128" i="2" l="1"/>
  <c r="P128" i="2"/>
  <c r="P89" i="2"/>
  <c r="N89" i="2"/>
  <c r="P244" i="2"/>
  <c r="P246" i="2"/>
  <c r="P243" i="2"/>
  <c r="P241" i="2"/>
  <c r="P187" i="2"/>
  <c r="P190" i="2"/>
  <c r="D214" i="2"/>
  <c r="D150" i="2"/>
  <c r="D155" i="2" s="1"/>
  <c r="D269" i="2" l="1"/>
  <c r="D259" i="2" l="1"/>
  <c r="D255" i="2"/>
  <c r="N142" i="2" l="1"/>
  <c r="D130" i="2" l="1"/>
  <c r="D132" i="2" s="1"/>
  <c r="D137" i="2" s="1"/>
  <c r="D141" i="2" l="1"/>
  <c r="D208" i="2"/>
  <c r="D215" i="2" l="1"/>
  <c r="D221" i="2"/>
  <c r="I190" i="2" s="1"/>
  <c r="D186" i="2"/>
  <c r="I227" i="2" s="1"/>
  <c r="D156" i="2"/>
  <c r="D102" i="2"/>
  <c r="D103" i="2" s="1"/>
  <c r="D104" i="2" s="1"/>
  <c r="D237" i="2"/>
  <c r="I216" i="2" l="1"/>
  <c r="P186" i="2" s="1"/>
  <c r="N186" i="2"/>
  <c r="D117" i="2"/>
  <c r="I89" i="2" s="1"/>
  <c r="I230" i="2"/>
  <c r="I124" i="2"/>
  <c r="I135" i="2" s="1"/>
  <c r="I144" i="2" s="1"/>
  <c r="I158" i="2" s="1"/>
  <c r="I195" i="2" s="1"/>
  <c r="D187" i="2"/>
  <c r="I93" i="2"/>
  <c r="P97" i="2" s="1"/>
  <c r="D231" i="2"/>
  <c r="I92" i="2" l="1"/>
  <c r="I90" i="2"/>
  <c r="I86" i="2"/>
  <c r="I88" i="2"/>
  <c r="I91" i="2"/>
  <c r="P96" i="2" s="1"/>
  <c r="P99" i="2" s="1"/>
  <c r="N135" i="2"/>
  <c r="I87" i="2"/>
  <c r="I85" i="2"/>
  <c r="P90" i="2" s="1"/>
  <c r="I208" i="2"/>
  <c r="D247" i="2"/>
  <c r="D238" i="2"/>
  <c r="D239" i="2" s="1"/>
  <c r="D241" i="2" l="1"/>
  <c r="D244" i="2"/>
  <c r="N193" i="2"/>
  <c r="I102" i="2"/>
  <c r="I115" i="2" s="1"/>
  <c r="N96" i="2" s="1"/>
  <c r="D249" i="2"/>
  <c r="I139" i="2"/>
  <c r="I145" i="2"/>
  <c r="I161" i="2" s="1"/>
  <c r="I198" i="2" s="1"/>
  <c r="I146" i="2"/>
  <c r="I162" i="2" s="1"/>
  <c r="I199" i="2" s="1"/>
  <c r="I138" i="2"/>
  <c r="D256" i="2" l="1"/>
  <c r="I244" i="2"/>
  <c r="I212" i="2"/>
  <c r="I211" i="2"/>
  <c r="N137" i="2"/>
  <c r="I104" i="2"/>
  <c r="I119" i="2" s="1"/>
  <c r="N136" i="2"/>
  <c r="N138" i="2" s="1"/>
  <c r="I103" i="2"/>
  <c r="I118" i="2" s="1"/>
  <c r="I150" i="2"/>
  <c r="I140" i="2"/>
  <c r="I152" i="2"/>
  <c r="I97" i="2" s="1"/>
  <c r="I109" i="2" s="1"/>
  <c r="I143" i="2"/>
  <c r="I142" i="2"/>
  <c r="I153" i="2" s="1"/>
  <c r="I100" i="2" s="1"/>
  <c r="I141" i="2"/>
  <c r="I151" i="2" s="1"/>
  <c r="P93" i="2"/>
  <c r="N97" i="2" l="1"/>
  <c r="N99" i="2" s="1"/>
  <c r="N194" i="2"/>
  <c r="N196" i="2"/>
  <c r="I241" i="2"/>
  <c r="I254" i="2" s="1"/>
  <c r="I245" i="2"/>
  <c r="I258" i="2" s="1"/>
  <c r="N248" i="2" s="1"/>
  <c r="I160" i="2"/>
  <c r="I101" i="2" s="1"/>
  <c r="I159" i="2"/>
  <c r="N195" i="2"/>
  <c r="I257" i="2"/>
  <c r="I96" i="2"/>
  <c r="I107" i="2" s="1"/>
  <c r="I157" i="2"/>
  <c r="I99" i="2"/>
  <c r="I147" i="2"/>
  <c r="I156" i="2"/>
  <c r="I113" i="2" l="1"/>
  <c r="N90" i="2"/>
  <c r="N247" i="2"/>
  <c r="N250" i="2"/>
  <c r="P132" i="2"/>
  <c r="P133" i="2"/>
  <c r="I193" i="2"/>
  <c r="I206" i="2" s="1"/>
  <c r="I239" i="2"/>
  <c r="I252" i="2" s="1"/>
  <c r="I194" i="2"/>
  <c r="I207" i="2" s="1"/>
  <c r="I240" i="2"/>
  <c r="I253" i="2" s="1"/>
  <c r="I196" i="2"/>
  <c r="I209" i="2" s="1"/>
  <c r="N188" i="2" s="1"/>
  <c r="I242" i="2"/>
  <c r="I255" i="2" s="1"/>
  <c r="I197" i="2"/>
  <c r="I210" i="2" s="1"/>
  <c r="N191" i="2" s="1"/>
  <c r="I243" i="2"/>
  <c r="I256" i="2" s="1"/>
  <c r="I98" i="2"/>
  <c r="I116" i="2" s="1"/>
  <c r="N249" i="2"/>
  <c r="N129" i="2"/>
  <c r="N132" i="2"/>
  <c r="N134" i="2"/>
  <c r="N131" i="2"/>
  <c r="D258" i="2"/>
  <c r="N241" i="2" l="1"/>
  <c r="N190" i="2"/>
  <c r="N189" i="2"/>
  <c r="N244" i="2"/>
  <c r="N246" i="2"/>
  <c r="N243" i="2"/>
  <c r="D260" i="2"/>
  <c r="I262" i="2" s="1"/>
  <c r="P240" i="2" s="1"/>
  <c r="N192" i="2" l="1"/>
  <c r="N187" i="2"/>
  <c r="I236" i="2"/>
  <c r="N240" i="2" s="1"/>
  <c r="D270" i="2"/>
  <c r="I108" i="2"/>
  <c r="I110" i="2"/>
  <c r="I117" i="2"/>
  <c r="I114" i="2" l="1"/>
  <c r="N9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85" authorId="0" shapeId="0" xr:uid="{54107832-CE43-4BEE-B994-2A923B05ADDE}">
      <text>
        <r>
          <rPr>
            <b/>
            <sz val="9"/>
            <color indexed="81"/>
            <rFont val="Tahoma"/>
            <family val="2"/>
          </rPr>
          <t>Åkesson, Olof:</t>
        </r>
        <r>
          <rPr>
            <sz val="9"/>
            <color indexed="81"/>
            <rFont val="Tahoma"/>
            <family val="2"/>
          </rPr>
          <t xml:space="preserve">
el från egen kraftproduktion, men utanför brukets systemgräns, t ex egen ägd vindkraft räknas som inköpt el</t>
        </r>
      </text>
    </comment>
    <comment ref="C124" authorId="0" shapeId="0" xr:uid="{8CE384BD-404B-4B49-99C3-BA7CB20184D8}">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125" authorId="0" shapeId="0" xr:uid="{B6DDB640-8EC2-491C-BE79-09528AC6E0CA}">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157" authorId="0" shapeId="0" xr:uid="{67B6167E-3136-42E4-A876-6F86347FF8F1}">
      <text>
        <r>
          <rPr>
            <b/>
            <sz val="9"/>
            <color indexed="81"/>
            <rFont val="Tahoma"/>
            <family val="2"/>
          </rPr>
          <t>Åkesson, Olof:</t>
        </r>
        <r>
          <rPr>
            <sz val="9"/>
            <color indexed="81"/>
            <rFont val="Tahoma"/>
            <family val="2"/>
          </rPr>
          <t xml:space="preserve">
Se PM avsnitt om  återvinning av sekundärvärme</t>
        </r>
      </text>
    </comment>
  </commentList>
</comments>
</file>

<file path=xl/sharedStrings.xml><?xml version="1.0" encoding="utf-8"?>
<sst xmlns="http://schemas.openxmlformats.org/spreadsheetml/2006/main" count="1262" uniqueCount="947">
  <si>
    <r>
      <t>Grönt med</t>
    </r>
    <r>
      <rPr>
        <b/>
        <sz val="11"/>
        <color rgb="FF0070C0"/>
        <rFont val="Calibri"/>
        <family val="2"/>
        <scheme val="minor"/>
      </rPr>
      <t xml:space="preserve"> blå text</t>
    </r>
    <r>
      <rPr>
        <b/>
        <sz val="11"/>
        <color theme="1"/>
        <rFont val="Calibri"/>
        <family val="2"/>
        <scheme val="minor"/>
      </rPr>
      <t xml:space="preserve"> = Celler där data ska läggas in</t>
    </r>
  </si>
  <si>
    <t>Gult med svart text = Beräknade data</t>
  </si>
  <si>
    <t>NAMN PÅ BRUK:</t>
  </si>
  <si>
    <t>Blå = Beräknade nyckeltal</t>
  </si>
  <si>
    <t>ORT:</t>
  </si>
  <si>
    <t>SKOGEBORG</t>
  </si>
  <si>
    <t>Orange = Kontroll</t>
  </si>
  <si>
    <t>Rosa = Celler där data hämtas från annan cell</t>
  </si>
  <si>
    <t>METADATA</t>
  </si>
  <si>
    <t>Område</t>
  </si>
  <si>
    <t>Förklaring</t>
  </si>
  <si>
    <t>Värde</t>
  </si>
  <si>
    <t>Kommentar</t>
  </si>
  <si>
    <t>Blekning</t>
  </si>
  <si>
    <r>
      <t xml:space="preserve">Ange vilken/vilka typ(er) av blekning som används, och massaproduktion av respektive typ
</t>
    </r>
    <r>
      <rPr>
        <i/>
        <sz val="11"/>
        <color theme="1"/>
        <rFont val="Calibri"/>
        <family val="2"/>
        <scheme val="minor"/>
      </rPr>
      <t>[Infoga rader efter behov (om flera typer av blekning)]</t>
    </r>
  </si>
  <si>
    <t>(Välj)</t>
  </si>
  <si>
    <t>ADt</t>
  </si>
  <si>
    <t>Produktion av blekkemikalier</t>
  </si>
  <si>
    <t>Ange om använda blekkemikalier är inköpta eller egenproducerade</t>
  </si>
  <si>
    <t>-</t>
  </si>
  <si>
    <t>Kappatal</t>
  </si>
  <si>
    <t>Ange kappatal i sulfatmassakoket</t>
  </si>
  <si>
    <t>Papper</t>
  </si>
  <si>
    <t>Typ av papper/kartong</t>
  </si>
  <si>
    <r>
      <t xml:space="preserve">Ange vilken/vilka typ(er) av papper/kartong som produceras, och produktion av respektive typ
</t>
    </r>
    <r>
      <rPr>
        <i/>
        <sz val="11"/>
        <color theme="1"/>
        <rFont val="Calibri"/>
        <family val="2"/>
        <scheme val="minor"/>
      </rPr>
      <t>[Infoga rader efter behov (om flera typer av papper/kartong)]</t>
    </r>
  </si>
  <si>
    <t>ton</t>
  </si>
  <si>
    <t>Energisystem</t>
  </si>
  <si>
    <t>Turbiner</t>
  </si>
  <si>
    <r>
      <t xml:space="preserve">Ange typ av turbin (kondens/mottryck) och antal
</t>
    </r>
    <r>
      <rPr>
        <i/>
        <sz val="11"/>
        <color theme="1"/>
        <rFont val="Calibri"/>
        <family val="2"/>
        <scheme val="minor"/>
      </rPr>
      <t>[Infoga rader efter behov (om flera typer av turbiner)]</t>
    </r>
  </si>
  <si>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</si>
  <si>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</si>
  <si>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</si>
  <si>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</si>
  <si>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Produktion av specialprodukt</t>
  </si>
  <si>
    <r>
      <t xml:space="preserve">Lista de specialprodukter som produceras vid bruket, och produktion av respektive typ
</t>
    </r>
    <r>
      <rPr>
        <i/>
        <sz val="11"/>
        <color theme="1"/>
        <rFont val="Calibri"/>
        <family val="2"/>
        <scheme val="minor"/>
      </rPr>
      <t>[Infoga rader efter behov]</t>
    </r>
  </si>
  <si>
    <t>PRODUKTION</t>
  </si>
  <si>
    <t>Ekvation</t>
  </si>
  <si>
    <t>Benämning</t>
  </si>
  <si>
    <t>M1</t>
  </si>
  <si>
    <t>Ma pump sulf</t>
  </si>
  <si>
    <t>M2</t>
  </si>
  <si>
    <t>V1</t>
  </si>
  <si>
    <t>Ved sulf</t>
  </si>
  <si>
    <t xml:space="preserve">ved/flis till produktion av sulfatmassa </t>
  </si>
  <si>
    <t>V2</t>
  </si>
  <si>
    <t>M3</t>
  </si>
  <si>
    <t>Ma avsalu sulf</t>
  </si>
  <si>
    <t>såld sulfatmassa (avsalumassa)</t>
  </si>
  <si>
    <t>M4</t>
  </si>
  <si>
    <t>M5</t>
  </si>
  <si>
    <t>Ma ink</t>
  </si>
  <si>
    <t>inköpt massa</t>
  </si>
  <si>
    <t>P1</t>
  </si>
  <si>
    <t>Pa tot</t>
  </si>
  <si>
    <t>MP1</t>
  </si>
  <si>
    <t>Slutprod</t>
  </si>
  <si>
    <t>summa slutprodukter massa och papper</t>
  </si>
  <si>
    <t>ADt + ton</t>
  </si>
  <si>
    <t>ELFÖRBRUKNING</t>
  </si>
  <si>
    <t>TJ</t>
  </si>
  <si>
    <t>el ink</t>
  </si>
  <si>
    <t>E11</t>
  </si>
  <si>
    <t>el rens sulf gem</t>
  </si>
  <si>
    <t>gemensam elförbrukning som fördelats till, eller med utgångspunkt från andel av uppmätt förbrukning hänförts till renseriet (sulfatmassans andel)</t>
  </si>
  <si>
    <t>E12</t>
  </si>
  <si>
    <t>gemensam elförbrukning som fördelats till, eller med utgångspunkt från andel av uppmätt förbrukning hänförts till produktion av sulfat-pumpmassa (exkl. renseri)</t>
  </si>
  <si>
    <t>el såld</t>
  </si>
  <si>
    <t>el såld till elnätet</t>
  </si>
  <si>
    <t>E13</t>
  </si>
  <si>
    <t>el tork sulf gem</t>
  </si>
  <si>
    <t>E1</t>
  </si>
  <si>
    <t>El tot tillf</t>
  </si>
  <si>
    <t>Total elförbrukning i massabruket beräknad från produktion och handel (tillförselsidan)</t>
  </si>
  <si>
    <t>E14</t>
  </si>
  <si>
    <t>el rens uppm</t>
  </si>
  <si>
    <t>E15</t>
  </si>
  <si>
    <t>uppmätt elförbrukning för produktion av sulfat-pumpmassa, exkl. el till renseriet</t>
  </si>
  <si>
    <t>E16</t>
  </si>
  <si>
    <t>el tork sulf uppm</t>
  </si>
  <si>
    <t>uppmätt elförbrukning för torkning av sulfat-pumpmassa till avsalumassa</t>
  </si>
  <si>
    <t>E17</t>
  </si>
  <si>
    <t>el uppsl gem</t>
  </si>
  <si>
    <t>gemensam elförbrukning som fördelats till, eller med utgångspunkt från andel av uppmätt förbrukning hänförts till uppslagning av inköpt massa</t>
  </si>
  <si>
    <t>E18</t>
  </si>
  <si>
    <t>el pa gem</t>
  </si>
  <si>
    <t>gemensam elförbrukning som fördelats till, eller med utgångspunkt från andel av uppmätt förbrukning hänförts till själva pappersproduktionen</t>
  </si>
  <si>
    <t>el uppsl uppm</t>
  </si>
  <si>
    <t>uppmätt elförbrukning för uppslagning av inköpt massa</t>
  </si>
  <si>
    <t>el pa uppm</t>
  </si>
  <si>
    <t>uppmätt elförbrukning för själva pappersproduktionen</t>
  </si>
  <si>
    <t>E19</t>
  </si>
  <si>
    <t>el rens sulf br</t>
  </si>
  <si>
    <t>E2</t>
  </si>
  <si>
    <t>el proc uppm</t>
  </si>
  <si>
    <t>Summa elförbrukning som uppmätts specifikt för de olika processavsnitten</t>
  </si>
  <si>
    <t>E20</t>
  </si>
  <si>
    <t>el gem uppm</t>
  </si>
  <si>
    <t>uppmätt elförbrukning för gemensamma funktioner, dvs el som används för t.ex. vattenrening, kontor, underhållsverkstad och som inte används i elpannor för värmeproduktion</t>
  </si>
  <si>
    <t>E21</t>
  </si>
  <si>
    <t>el tork sulf br</t>
  </si>
  <si>
    <t>el br</t>
  </si>
  <si>
    <t>elförbrukning för produktion av värme i elpannor och el till övrig panndrift (användning av el som ”bränsle”)</t>
  </si>
  <si>
    <t>E22</t>
  </si>
  <si>
    <t>E3</t>
  </si>
  <si>
    <t>E23</t>
  </si>
  <si>
    <t>E4</t>
  </si>
  <si>
    <t>el bal</t>
  </si>
  <si>
    <t>E24</t>
  </si>
  <si>
    <t>E5</t>
  </si>
  <si>
    <t>el gem</t>
  </si>
  <si>
    <t>el som förbrukas i gemensamma funktioner eller ingår i gemensam balanspost</t>
  </si>
  <si>
    <t>E25</t>
  </si>
  <si>
    <t>el uppsl br</t>
  </si>
  <si>
    <t xml:space="preserve">el gem förd rens </t>
  </si>
  <si>
    <t xml:space="preserve">del av gemensam elförbrukning (inkl. gemensam balanspost) som kan fördelas till vedhantering och renseri baserat på rimliga antaganden och uppskattningar </t>
  </si>
  <si>
    <t>E26</t>
  </si>
  <si>
    <t>el pa br</t>
  </si>
  <si>
    <t xml:space="preserve">del av gemensam elförbrukning (inkl. gemensam balanspost) som kan fördelas till produktion av sulfat-pumpmassa (exkl. renseri) baserat på rimliga antaganden och uppskattningar </t>
  </si>
  <si>
    <t>el gem förd tork sulf</t>
  </si>
  <si>
    <t xml:space="preserve">del av gemensam elförbrukning (inkl. gemensam balanspost) som kan fördelas till torkning av sulfat-pumpmassa till avsalumassa baserat på rimliga antaganden och uppskattningar </t>
  </si>
  <si>
    <t>E27</t>
  </si>
  <si>
    <t>el rens sulf</t>
  </si>
  <si>
    <t>Förbrukning av el i renseriet (sulfatmassans del)</t>
  </si>
  <si>
    <t>E28</t>
  </si>
  <si>
    <t>el gem förd uppsl</t>
  </si>
  <si>
    <t>del av gemensam elförbrukning (inkl gemensam balanspost) som kan fördelas  till uppslagning av massa baserat på rimliga antaganden och uppskattningar</t>
  </si>
  <si>
    <t>E29</t>
  </si>
  <si>
    <t>Förbrukning av el för produktion av sulfat-pumpmassa (exkl. renseri)</t>
  </si>
  <si>
    <t>el gem förd pa</t>
  </si>
  <si>
    <t>del av gemensam elförbrukning (inkl gemensam balanspost) som kan fördelas till pappersproduktionen baserat på rimliga antaganden och uppskattningar</t>
  </si>
  <si>
    <t>E30</t>
  </si>
  <si>
    <t>E6</t>
  </si>
  <si>
    <t>el rens sulf uppm</t>
  </si>
  <si>
    <t>sulfatmassaproduktionens del av renseriets uppmätta elförbrukning</t>
  </si>
  <si>
    <t>E7</t>
  </si>
  <si>
    <t>E8</t>
  </si>
  <si>
    <t>el gem förd rens sulf</t>
  </si>
  <si>
    <t>E31</t>
  </si>
  <si>
    <t>El pump sulf</t>
  </si>
  <si>
    <t>Förbrukning av el för produktion av sulfat-pumpmassa</t>
  </si>
  <si>
    <t>E9</t>
  </si>
  <si>
    <t>E32</t>
  </si>
  <si>
    <t>E10</t>
  </si>
  <si>
    <t>el gem rest</t>
  </si>
  <si>
    <t>resterande gemensam elförbrukning som inte tydligt kan fördelas till specifika processavsnitt</t>
  </si>
  <si>
    <t>E33</t>
  </si>
  <si>
    <t>El tork sulf</t>
  </si>
  <si>
    <t>Förbrukning av el för torkning av sulfat-avsalumassa</t>
  </si>
  <si>
    <t>E34</t>
  </si>
  <si>
    <t>E35</t>
  </si>
  <si>
    <t>El uppsl</t>
  </si>
  <si>
    <t>Förbrukning av el för uppslagning av inköpt massa</t>
  </si>
  <si>
    <t>E36</t>
  </si>
  <si>
    <t>El pa</t>
  </si>
  <si>
    <t>Förbrukning av el för produktion av papper från pumpmassa</t>
  </si>
  <si>
    <t>NYCKELTAL</t>
  </si>
  <si>
    <t>E37</t>
  </si>
  <si>
    <t>E38</t>
  </si>
  <si>
    <t>E39</t>
  </si>
  <si>
    <t>E40</t>
  </si>
  <si>
    <t>E41</t>
  </si>
  <si>
    <t>E42</t>
  </si>
  <si>
    <t>E43</t>
  </si>
  <si>
    <t>E44</t>
  </si>
  <si>
    <t>Självförsörjningsgrad el</t>
  </si>
  <si>
    <t>VÄRMEFÖRBRUKNING</t>
  </si>
  <si>
    <t>q turb</t>
  </si>
  <si>
    <t>Q19</t>
  </si>
  <si>
    <t>q rens sulf gem</t>
  </si>
  <si>
    <t>gemensam värmeförbrukning som fördelats till, eller med utgångspunkt från andel av uppmätt förbrukning hänförts till renseriet (sulfatmassans andel)</t>
  </si>
  <si>
    <t>q dir</t>
  </si>
  <si>
    <t>Q20</t>
  </si>
  <si>
    <t>q fiber sulf gem</t>
  </si>
  <si>
    <t>gemensam värmeförbrukning som fördelats till, eller med utgångspunkt från andel av uppmätt förbrukning hänförts till produktion av sulfat-pumpmassa (exkl. renseri)</t>
  </si>
  <si>
    <t>q gp</t>
  </si>
  <si>
    <t>ånga producerad i starkgaspanna</t>
  </si>
  <si>
    <t>Q21</t>
  </si>
  <si>
    <t>q tork sulf gem</t>
  </si>
  <si>
    <t xml:space="preserve">gemensam värmeförbrukning som fördelats till, eller med utgångspunkt från andel av uppmätt förbrukning hänförts till torkning av sulfat-pumpmassa till avsalumassa </t>
  </si>
  <si>
    <t>q elp</t>
  </si>
  <si>
    <t>ånga producerad i elpanna</t>
  </si>
  <si>
    <t>Q22</t>
  </si>
  <si>
    <t>q övrp</t>
  </si>
  <si>
    <t>ånga som produceras i annan panna, ej ansluten till turbin</t>
  </si>
  <si>
    <t>Q23</t>
  </si>
  <si>
    <t>q vtn</t>
  </si>
  <si>
    <t xml:space="preserve">hetvatten som produceras i egen panna (t.ex. oljepanna eller elpanna)  </t>
  </si>
  <si>
    <t>Q24</t>
  </si>
  <si>
    <t>Q1</t>
  </si>
  <si>
    <t>q prod panna</t>
  </si>
  <si>
    <t>Q25</t>
  </si>
  <si>
    <t>q uppsl gem</t>
  </si>
  <si>
    <t>gemensam värmeförbrukning som fördelats till, eller med utgångspunkt från andel av uppmätt förbrukning hänförts till  uppslagning av inköpt massa</t>
  </si>
  <si>
    <t>q prod raff</t>
  </si>
  <si>
    <t>Q26</t>
  </si>
  <si>
    <t>q pa gem</t>
  </si>
  <si>
    <t>gemensam värmeförbrukning som fördelats till, eller med utgångspunkt från andel av uppmätt förbrukning hänförts till själva pappersproduktionen</t>
  </si>
  <si>
    <t>Q2</t>
  </si>
  <si>
    <t>q prod tot</t>
  </si>
  <si>
    <t>summa egenproducerad värme inkl raffinörer</t>
  </si>
  <si>
    <t>Kontroll (ska vara noll)</t>
  </si>
  <si>
    <t>q ink</t>
  </si>
  <si>
    <t>ånga  eller hetvatten som köps in från extern leverantör</t>
  </si>
  <si>
    <t>q prim ext</t>
  </si>
  <si>
    <t>Q3</t>
  </si>
  <si>
    <t>Q tot brutto</t>
  </si>
  <si>
    <t>brutto förbrukning av värme vid massa- och pappersbruket, beräknad från värmeproduktion</t>
  </si>
  <si>
    <t>q sek ext</t>
  </si>
  <si>
    <t>q rens sulf</t>
  </si>
  <si>
    <t>Förbrukning av värme i renseriet (sulfatmassans del)</t>
  </si>
  <si>
    <t>Q4</t>
  </si>
  <si>
    <t>Q tot netto</t>
  </si>
  <si>
    <t>netto förbrukning av värme vid massabruket, beräknad från värmeproduktion</t>
  </si>
  <si>
    <t>q rens uppm</t>
  </si>
  <si>
    <t>Q27</t>
  </si>
  <si>
    <t>q fiber sulf</t>
  </si>
  <si>
    <t>Förbrukning av värme för produktion av sulfat-pumpmassa (exkl. renseri)</t>
  </si>
  <si>
    <t>q fiber sulf uppm</t>
  </si>
  <si>
    <t>uppmätt förbrukning av primärvärme för produktion av sulfat-pumpmassa (exkl. renseri)</t>
  </si>
  <si>
    <t>Q28</t>
  </si>
  <si>
    <t>q tork sulf uppm</t>
  </si>
  <si>
    <t>uppmätt förbrukning av primärvärme för torkning av sulfat-avsalumassa</t>
  </si>
  <si>
    <t>Q31</t>
  </si>
  <si>
    <t>Q pump sulf</t>
  </si>
  <si>
    <t>Förbrukning av värme för produktion av sulfat-pumpmassa</t>
  </si>
  <si>
    <t>q uppsl uppm</t>
  </si>
  <si>
    <t>uppmätt förbrukning av primärvärme för uppslagning av inköpt massa</t>
  </si>
  <si>
    <t>Q32</t>
  </si>
  <si>
    <t>q pa uppm</t>
  </si>
  <si>
    <t>uppmätt förbrukning av primärvärme för själva pappersproduktionen</t>
  </si>
  <si>
    <t>Q29</t>
  </si>
  <si>
    <t>Förbrukning av värme för torkning av sulfat-avsalumassa</t>
  </si>
  <si>
    <t>Q5</t>
  </si>
  <si>
    <t>q proc uppm</t>
  </si>
  <si>
    <t>summa  primärvärmeförbrukning uppmätt specifikt för de olika processavsnitten</t>
  </si>
  <si>
    <t>Q30</t>
  </si>
  <si>
    <t>q gem uppm</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</si>
  <si>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</si>
  <si>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Q33</t>
  </si>
  <si>
    <t>Q uppsl</t>
  </si>
  <si>
    <t>Förbrukning av värme för uppslagning av inköpt massa</t>
  </si>
  <si>
    <t>q fribl uppm</t>
  </si>
  <si>
    <t xml:space="preserve">uppmätt friblåsning av ånga som därmed inte nyttiggörs i produktionen </t>
  </si>
  <si>
    <t>Q34</t>
  </si>
  <si>
    <t>Q pa</t>
  </si>
  <si>
    <t>Förbrukning av värme för produktion av papper från pumpmassa</t>
  </si>
  <si>
    <t>Q6</t>
  </si>
  <si>
    <t>Q tot uppm</t>
  </si>
  <si>
    <t>total uppmätt primärvärmeförbrukning</t>
  </si>
  <si>
    <t>Q7</t>
  </si>
  <si>
    <t>q prim bal</t>
  </si>
  <si>
    <t>q rens→sek</t>
  </si>
  <si>
    <t>sekundärvärme som tillvaratas från renseriet</t>
  </si>
  <si>
    <t>GJ/ADt</t>
  </si>
  <si>
    <t>q fiber sulf→sek</t>
  </si>
  <si>
    <t xml:space="preserve">sekundärvärme som tillvaratas från produktionen av sulfat-pumpmassa (exkl. renseri). </t>
  </si>
  <si>
    <t>Q35</t>
  </si>
  <si>
    <t>q tork sulf→sek</t>
  </si>
  <si>
    <t xml:space="preserve">sekundärvärme som tillvaratas från torkningen av sulfat-avsalumassa </t>
  </si>
  <si>
    <t>Q36</t>
  </si>
  <si>
    <t>Q37</t>
  </si>
  <si>
    <t>Q38</t>
  </si>
  <si>
    <t>q uppsl→sek</t>
  </si>
  <si>
    <t xml:space="preserve">sekundärvärme som tillvaratas från uppslagningen av inköpt massa  </t>
  </si>
  <si>
    <t>Q39</t>
  </si>
  <si>
    <t>q pa→sek</t>
  </si>
  <si>
    <t>sekundärvärme som tillvaratas från själva pappersproduktionen</t>
  </si>
  <si>
    <t>q sek→rens</t>
  </si>
  <si>
    <t>sekundärvärme som används i renseriet</t>
  </si>
  <si>
    <t>q sek→fiber sulf</t>
  </si>
  <si>
    <t>sekundärvärme som används för produktion av sulfat-pumpmassa (exkl. renseri)</t>
  </si>
  <si>
    <t>q sek→tork sulf</t>
  </si>
  <si>
    <t>sekundärvärme som används för torkning av sulfat-avsalumassa</t>
  </si>
  <si>
    <t>Q40</t>
  </si>
  <si>
    <t>Q41</t>
  </si>
  <si>
    <t>q sek→uppsl</t>
  </si>
  <si>
    <t>sekundärvärme som används för uppslagning av inköpt massa</t>
  </si>
  <si>
    <t>q sek→pa</t>
  </si>
  <si>
    <t>sekundärvärme som används för själva pappersproduktionen </t>
  </si>
  <si>
    <t>Q8</t>
  </si>
  <si>
    <t>q sek bal</t>
  </si>
  <si>
    <t>Q42</t>
  </si>
  <si>
    <t>Q9</t>
  </si>
  <si>
    <t>q rens sulf→sek</t>
  </si>
  <si>
    <t>sulfatmassans del av sekundärvärme som tillvaratas från renseriet</t>
  </si>
  <si>
    <t>Q10</t>
  </si>
  <si>
    <t>Q44</t>
  </si>
  <si>
    <t>Q11</t>
  </si>
  <si>
    <t>q sek→rens sulf</t>
  </si>
  <si>
    <t>sulfatmassans del av sekundärvärmeanvändning i renseriet</t>
  </si>
  <si>
    <t>Q12</t>
  </si>
  <si>
    <t>Q13</t>
  </si>
  <si>
    <t>q gem</t>
  </si>
  <si>
    <t>värme som förbrukas i gemensamma funktioner eller ingår i gemensamma balansposter</t>
  </si>
  <si>
    <t>q gem förd rens</t>
  </si>
  <si>
    <t xml:space="preserve">del av gemensam värmeförbrukning (inkl. friblåsning och  gemensam balanspost) som kan fördelas till vedhantering och renseri baserat på rimliga antaganden och uppskattningar </t>
  </si>
  <si>
    <t>q gem förd fiber sulf</t>
  </si>
  <si>
    <t xml:space="preserve">del av gemensam värmeförbrukning (inkl. friblåsning och gemensam balanspost) som kan fördelas till produktion av sulfat-pumpmassa (exkl. renseri) baserat på rimliga antaganden och uppskattningar </t>
  </si>
  <si>
    <t>q gem förd tork sulf</t>
  </si>
  <si>
    <t xml:space="preserve">del av gemensam värmeförbrukning (inkl. friblåsning och gemensam balanspost) som kan fördelas till torkning av sulfat-pumpmassa till avsalumassa baserat på rimliga antaganden och uppskattningar </t>
  </si>
  <si>
    <t>q gem förd uppsl</t>
  </si>
  <si>
    <t>del av gemensam värmeförbrukning (inkl friblåsning och gemensam balanspost)  som kan fördelas till uppslagning av inköpt massa baserat på rimliga antaganden och uppskattningar</t>
  </si>
  <si>
    <t>q gem förd pa</t>
  </si>
  <si>
    <t>del av gemensam värmeförbrukning (inkl friblåsning och gemensam balanspost)  som kan fördelas till själva pappersproduktionen baserat på rimliga antaganden och uppskattningar</t>
  </si>
  <si>
    <t>Q14</t>
  </si>
  <si>
    <t>q rens sulf uppm</t>
  </si>
  <si>
    <t>sulfatmassans del av uppmätt värmeförbrukning i renseriet</t>
  </si>
  <si>
    <t>Q15</t>
  </si>
  <si>
    <t>Q16</t>
  </si>
  <si>
    <t>q gem förd rens sulf</t>
  </si>
  <si>
    <t>Q17</t>
  </si>
  <si>
    <t>Q18</t>
  </si>
  <si>
    <t>q gem rest</t>
  </si>
  <si>
    <t>resterande gemensam värmeförbrukning som inte tydligt kan fördelas till något av de olika processavsnitten</t>
  </si>
  <si>
    <t>br bio ink fast</t>
  </si>
  <si>
    <t>inköpt bark, skogsflis och andra fasta biobränslen</t>
  </si>
  <si>
    <t>br såld bark</t>
  </si>
  <si>
    <t>såld bark och annat fast biobränsle som uppkommit i vedhantering och renseri</t>
  </si>
  <si>
    <t>B9</t>
  </si>
  <si>
    <t>Br tot inre netto</t>
  </si>
  <si>
    <t>Summa förbrukning av bränslen, inre systemgräns</t>
  </si>
  <si>
    <t>B1</t>
  </si>
  <si>
    <t>Br bio fast inre</t>
  </si>
  <si>
    <t>bark eller annat fast biobränsle som används för värmeproduktion vid bruket (förbränns i pannor eller används för direktvärme)</t>
  </si>
  <si>
    <t>Kontroll balans fast biobränsle (ska vara noll)</t>
  </si>
  <si>
    <t>Bränsle som används för produktion av ånga och hetvatten i egna pannor</t>
  </si>
  <si>
    <t>B10</t>
  </si>
  <si>
    <t>br pump sulf panna</t>
  </si>
  <si>
    <t>bränsle som används för att producera värme i form av ånga eller hetvatten fördelad till produktion av sulfat-pumpmassa</t>
  </si>
  <si>
    <t>br fast bio panna</t>
  </si>
  <si>
    <t>B11</t>
  </si>
  <si>
    <t>br tork sulf panna</t>
  </si>
  <si>
    <t>bränsle som används för att producera värme i form av ånga eller hetvatten fördelad till torkning av sulfat-pumpmassa till avsalumassa</t>
  </si>
  <si>
    <t>br flyt bio panna</t>
  </si>
  <si>
    <t>inköpta flytande biobränslen</t>
  </si>
  <si>
    <t>B12</t>
  </si>
  <si>
    <t>br gas bio panna</t>
  </si>
  <si>
    <t>inköpt biogas</t>
  </si>
  <si>
    <t>B13</t>
  </si>
  <si>
    <t>br eo fos panna</t>
  </si>
  <si>
    <t>fossil eldningsolja</t>
  </si>
  <si>
    <t>br gas fos panna</t>
  </si>
  <si>
    <t>B2</t>
  </si>
  <si>
    <t>Br panna inre brutto</t>
  </si>
  <si>
    <t>Summa bränsle för värmeproduktion i pannor, inre systemgräns, brutto</t>
  </si>
  <si>
    <t>B14</t>
  </si>
  <si>
    <t>br rens sulf övr</t>
  </si>
  <si>
    <t>sulfatmassans del av drivmedel och övrigt bränsle som används i verksamhet som kan hänföras till renseri, t.ex. truckar på vedgården.</t>
  </si>
  <si>
    <t>η ext</t>
  </si>
  <si>
    <t>B15</t>
  </si>
  <si>
    <t>B3</t>
  </si>
  <si>
    <t>B4</t>
  </si>
  <si>
    <t>Br panna inre netto</t>
  </si>
  <si>
    <t>Summa bränsle för värmeproduktion i pannor, inre systemgräns, netto</t>
  </si>
  <si>
    <t>B16</t>
  </si>
  <si>
    <t>Br pump sulf</t>
  </si>
  <si>
    <t>br fast bio dir</t>
  </si>
  <si>
    <t>B17</t>
  </si>
  <si>
    <t>br flyt bio dir</t>
  </si>
  <si>
    <t>B18</t>
  </si>
  <si>
    <t>Br tork sulf</t>
  </si>
  <si>
    <t>br gas bio dir</t>
  </si>
  <si>
    <t>B19</t>
  </si>
  <si>
    <t>br eo fos dir</t>
  </si>
  <si>
    <t>B20</t>
  </si>
  <si>
    <t>br gas fos dir</t>
  </si>
  <si>
    <t>övriga  fossila bränslen, t.ex. gasol och naturgas</t>
  </si>
  <si>
    <t>B21</t>
  </si>
  <si>
    <t>B5</t>
  </si>
  <si>
    <t>Br dir inre</t>
  </si>
  <si>
    <t>B6</t>
  </si>
  <si>
    <t>Kontroll, ska vara 0 (noll)</t>
  </si>
  <si>
    <t>B22</t>
  </si>
  <si>
    <t>x bio eget</t>
  </si>
  <si>
    <t>andel av totalt använd bark och annat biobränsle som uppkommit vid bruket</t>
  </si>
  <si>
    <t>Bränsle övrigt, använt som drivmedel eller för annat ändamål än värme eller direktvärme</t>
  </si>
  <si>
    <t>B23</t>
  </si>
  <si>
    <t>Br panna yttre, brutto</t>
  </si>
  <si>
    <t>Summa bränsle för värmeproduktion i pannor, yttre systemgräns, brutto</t>
  </si>
  <si>
    <t>br driv bio</t>
  </si>
  <si>
    <t>biodrivmedel (interna transporter), t.ex. biodiesel och etanol</t>
  </si>
  <si>
    <t>B24</t>
  </si>
  <si>
    <t>Br panna yttre netto</t>
  </si>
  <si>
    <t>Summa bränsle värmeproduktion i pannor, yttre systemgräns, netto</t>
  </si>
  <si>
    <t>br driv fos</t>
  </si>
  <si>
    <t>fossilt drivmedel (interna transporter), t.ex. bensin och diesel</t>
  </si>
  <si>
    <t>B25</t>
  </si>
  <si>
    <t>Br dir yttre</t>
  </si>
  <si>
    <t>br annat bio</t>
  </si>
  <si>
    <t>bränsle för andra ändamål, bio</t>
  </si>
  <si>
    <t>B26</t>
  </si>
  <si>
    <t>Br tot yttre</t>
  </si>
  <si>
    <t>Summa förbrukning av bränslen, yttre systemgräns</t>
  </si>
  <si>
    <t>br annat fos</t>
  </si>
  <si>
    <t>bränsle för andra ändamål, fossilt</t>
  </si>
  <si>
    <t>B7</t>
  </si>
  <si>
    <t>Br övr</t>
  </si>
  <si>
    <r>
      <t xml:space="preserve">Summa drivmedel och övrigt bränsle </t>
    </r>
    <r>
      <rPr>
        <sz val="11"/>
        <color theme="1"/>
        <rFont val="Calibri"/>
        <family val="2"/>
        <scheme val="minor"/>
      </rPr>
      <t>(beräknad från bränsleslag)</t>
    </r>
  </si>
  <si>
    <t>br rens övr</t>
  </si>
  <si>
    <t>drivmedel och övrigt bränsle som används i verksamhet som kan hänföras till renseri, t.ex. truckar på vedgården.</t>
  </si>
  <si>
    <t>B27</t>
  </si>
  <si>
    <t>B28</t>
  </si>
  <si>
    <t>br tork sulf övr</t>
  </si>
  <si>
    <t>drivmedel och övrigt bränsle som används i verksamhet som kan hänföras till torkningen av sulfatmassa, t.ex. truckar för utlastning av avsalumassa</t>
  </si>
  <si>
    <t>B29</t>
  </si>
  <si>
    <t>B30</t>
  </si>
  <si>
    <t>B8</t>
  </si>
  <si>
    <r>
      <t xml:space="preserve">Summa drivmedel och övrigt bränsle </t>
    </r>
    <r>
      <rPr>
        <sz val="11"/>
        <color theme="1"/>
        <rFont val="Calibri"/>
        <family val="2"/>
        <scheme val="minor"/>
      </rPr>
      <t>(beräknad från ändamål)</t>
    </r>
  </si>
  <si>
    <t>B31</t>
  </si>
  <si>
    <t>BRÄNSLEFÖRBRUKNING FOSSIL</t>
  </si>
  <si>
    <t>F1</t>
  </si>
  <si>
    <t>Br panna brutto fos</t>
  </si>
  <si>
    <t>Summa fossilt bränsle för värmeproduktion i pannor, brutto</t>
  </si>
  <si>
    <t>F8</t>
  </si>
  <si>
    <t>Br tot fos</t>
  </si>
  <si>
    <t>Summa fossilt bränsle</t>
  </si>
  <si>
    <t>F2</t>
  </si>
  <si>
    <t>F3</t>
  </si>
  <si>
    <t>Br panna netto fos</t>
  </si>
  <si>
    <t>Summa fossilt bränsle  för värmeproduktion i pannor, netto</t>
  </si>
  <si>
    <t>F9</t>
  </si>
  <si>
    <t>br pump sulf panna fos</t>
  </si>
  <si>
    <t>fossilt bränsle som används för att producera värme i form av ånga eller hetvatten fördelad till produktion av sulfat-pumpmassa</t>
  </si>
  <si>
    <t>F10</t>
  </si>
  <si>
    <t>br tork sulf panna fos</t>
  </si>
  <si>
    <t>fossilt bränsle som används för att producera värme i form av ånga eller hetvatten fördelad till torkning av sulfat-pumpmassa till avsalumassa</t>
  </si>
  <si>
    <t>F11</t>
  </si>
  <si>
    <t>F12</t>
  </si>
  <si>
    <t>F4</t>
  </si>
  <si>
    <t>Br dir fos</t>
  </si>
  <si>
    <t>Summa fossilt bränsle direktvärme (beräknat från bränsleslag)</t>
  </si>
  <si>
    <t>F13</t>
  </si>
  <si>
    <t>br rens sulf övr fos</t>
  </si>
  <si>
    <t>sulfatmassans del av fossilt drivmedel och övrigt bränsle som används i verksamhet som kan hänföras till renseri, t.ex. truckar på vedgården.</t>
  </si>
  <si>
    <t>F5</t>
  </si>
  <si>
    <t>Summa fossilt bränsle direktvärme (beräknat från användning)</t>
  </si>
  <si>
    <t>F14</t>
  </si>
  <si>
    <t>Fossilt bränsle övrigt, använt som drivmedel eller för annat ändamål än värme eller direktvärme</t>
  </si>
  <si>
    <t>fossilt bränsle för andra ändamål</t>
  </si>
  <si>
    <t>F15</t>
  </si>
  <si>
    <t>Br pump sulf fos</t>
  </si>
  <si>
    <t>Förbrukning av fossilt bränsle för produktion av sulfat-pumpmassa</t>
  </si>
  <si>
    <t>br rens övr fos</t>
  </si>
  <si>
    <t>fossilt drivmedel och övrigt bränsle som används i verksamhet som kan hänföras till renseri, t.ex. truckar på vedgården.</t>
  </si>
  <si>
    <t>F16</t>
  </si>
  <si>
    <t xml:space="preserve">br fiber sulf övr fos </t>
  </si>
  <si>
    <t>fossilt drivmedel och övrigt bränsle som används i verksamhet som kan hänföras till produktionen av sulfat-pumpmassa (exl. renseri)</t>
  </si>
  <si>
    <t>F17</t>
  </si>
  <si>
    <t>Br tork sulf fos</t>
  </si>
  <si>
    <t>Förbrukning av fossilt bränsle för torkning av sulfat-avsalumassa</t>
  </si>
  <si>
    <t>F18</t>
  </si>
  <si>
    <t>br tork sulf övr fos</t>
  </si>
  <si>
    <t>fossilt drivmedel och övrigt bränsle som används i verksamhet som kan hänföras till torkningen av sulfatmassa, t.ex. truckar för utlastning av avsalumassa</t>
  </si>
  <si>
    <t>F19</t>
  </si>
  <si>
    <t>F20</t>
  </si>
  <si>
    <t>F6</t>
  </si>
  <si>
    <t>Br övr fos</t>
  </si>
  <si>
    <t>Summa  övrigt fossilt bränsle (beräknat från bränsleslag)</t>
  </si>
  <si>
    <t>F7</t>
  </si>
  <si>
    <t>Summa  övrigt fossilt bränsle (beräknat från ändamål)</t>
  </si>
  <si>
    <t>F21</t>
  </si>
  <si>
    <t>F22</t>
  </si>
  <si>
    <t>F23</t>
  </si>
  <si>
    <t>F24</t>
  </si>
  <si>
    <t>F25</t>
  </si>
  <si>
    <t>Kommentarer och noteringar</t>
  </si>
  <si>
    <t>Q45</t>
  </si>
  <si>
    <t>Q tork sulf</t>
  </si>
  <si>
    <t>br pa dir</t>
  </si>
  <si>
    <t>bränsle som används för att producera direktvärme för själva pappersproduktionen</t>
  </si>
  <si>
    <t>bränsle som används för att producera direktvärme vid produktion av sulfat-pumpmassa, t.ex. bränsle till mesaugnen</t>
  </si>
  <si>
    <t>br tork sulf dir</t>
  </si>
  <si>
    <t>bränsle som används för att producera direktvärme för torkning av sulfatmassa, t.ex. direkteldade flingtorkar</t>
  </si>
  <si>
    <t>Bränsle som används för direktvärme (tex i mesaugn)</t>
  </si>
  <si>
    <t>drivmedel och övrigt bränsle som används i verksamhet som kan hänföras till produktionen av sulfat-pumpmassa (exkl. renseri)</t>
  </si>
  <si>
    <t>br uppsl övr</t>
  </si>
  <si>
    <t>drivmedel och annat bränsle som används i verksamhet som kan hänföras till uppslagning av inköpt massa</t>
  </si>
  <si>
    <t>br pa övr</t>
  </si>
  <si>
    <t>drivmedel och annat bränsle som används i verksamhet som kan hänföras till själva pappersproduktionen, t.ex. truckar för hantering av färdig produkt</t>
  </si>
  <si>
    <t>br uppsl panna</t>
  </si>
  <si>
    <t>br pa panna</t>
  </si>
  <si>
    <t>Br uppsl</t>
  </si>
  <si>
    <t>Br pa</t>
  </si>
  <si>
    <t>B32</t>
  </si>
  <si>
    <t>B33</t>
  </si>
  <si>
    <t>bränsle som används för att producera värme i form av ånga eller hetvatten fördelad till själva pappersproduktionen</t>
  </si>
  <si>
    <t>bränsle som används för att producera värme i form av ånga eller hetvatten fördelad till uppslagning av inköpt massa</t>
  </si>
  <si>
    <t>Förbrukning av bränsle för produktion av sulfat-pumpmassa</t>
  </si>
  <si>
    <t>Förbrukning av bränsle för torkning av sulfat-avsalumassa</t>
  </si>
  <si>
    <t>Förbrukning av bränsle för uppslagning av inköpt massa</t>
  </si>
  <si>
    <t>Förbrukning av bränsle för själva pappersproduktionen</t>
  </si>
  <si>
    <t>br tork sulf dir fos</t>
  </si>
  <si>
    <t>br pa dir fos</t>
  </si>
  <si>
    <t>fossilt bränsle som används för att producera direktvärme vid produktion av sulfat-pumpmassa, t.ex. bränsle till mesaugnen</t>
  </si>
  <si>
    <t>fossilt bränsle som används för att producera direktvärme för torkning av sulfatmassa, t.ex. direkteldade flingtorkar</t>
  </si>
  <si>
    <t>fossilt bränsle som används för att producera direktvärme för själva pappersproduktionen</t>
  </si>
  <si>
    <t>br uppsl övr fos</t>
  </si>
  <si>
    <t>fossilt drivmedel och övrigt bränsle som används i verksamhet som kan hänföras till uppslagning av inköpt massa, t ex truckar för mottagning av inköpt massa</t>
  </si>
  <si>
    <t>br pa övr fos</t>
  </si>
  <si>
    <t>fossilt drivmedel och övrigt bränsle som används i verksamhet som kan hänföras till själva pappersproduktionen, t ex truckar för utlastning av färdig produkt</t>
  </si>
  <si>
    <t>fossilt bränsle som används för att producera värme i form av ånga eller hetvatten fördelad till uppslagning av inköpt massa</t>
  </si>
  <si>
    <t>fossilt bränsle som används för att producera värme i form av ånga eller hetvatten fördelad till själva pappersproduktionen</t>
  </si>
  <si>
    <t>Br uppsl fos</t>
  </si>
  <si>
    <t>Br pa fos</t>
  </si>
  <si>
    <t>Förbrukning av fossilt bränsle för uppslagning av inköpt massa</t>
  </si>
  <si>
    <t>Förbrukning av fossilt bränsle för själva pappersproduktionen</t>
  </si>
  <si>
    <t>F26</t>
  </si>
  <si>
    <t>F27</t>
  </si>
  <si>
    <t>F28</t>
  </si>
  <si>
    <t>F29</t>
  </si>
  <si>
    <t>Fossilt bränsle som används för direktvärme</t>
  </si>
  <si>
    <t>el använd för värmeproduktion fördelad till renseriet (sulfatmassans del)</t>
  </si>
  <si>
    <t>el använd för värmeproduktion fördelad till produktion av sulfat-pumpmassa (exkl. renseri)</t>
  </si>
  <si>
    <t>el använd för värmeproduktion fördelad till torkning av sulfat-avsalumassa</t>
  </si>
  <si>
    <t>el använd för värmeproduktion fördelad till uppslagning av inköpt massa</t>
  </si>
  <si>
    <t>el använd för värmeproduktion fördelad till själva pappersproduktionen</t>
  </si>
  <si>
    <t>sulfatmassans del av värmeförbrukning som fördelats till renseriet</t>
  </si>
  <si>
    <t>Q43</t>
  </si>
  <si>
    <t>Q46</t>
  </si>
  <si>
    <t>B34</t>
  </si>
  <si>
    <t>B35</t>
  </si>
  <si>
    <t>br bio eget fast</t>
  </si>
  <si>
    <t>Ved NSSC</t>
  </si>
  <si>
    <t>såld NSSC-massa (avsalumassa)</t>
  </si>
  <si>
    <t>gemensam elförbrukning som fördelats till, eller med utgångspunkt från andel av uppmätt förbrukning hänförts till renseriet (NSSC-massans andel)</t>
  </si>
  <si>
    <t>uppmätt elförbrukning vid renseriet, från att veden kommer in på vedgården tills att flisen separeras till produktion av sulfatmassa resp. NSSC-massa</t>
  </si>
  <si>
    <t>el använd för värmeproduktion fördelad till renseriet (NSSC-massans del)</t>
  </si>
  <si>
    <t>Förbrukning av el i renseriet (NSSC-massans del)</t>
  </si>
  <si>
    <t>NSSC-massaproduktionens del av renseriets uppmätta elförbrukning</t>
  </si>
  <si>
    <t>gemensam värmeförbrukning somfördelats till, eller med utgångspunkt från andel av uppmätt förbrukning hänförts till renseriet (NSSC-massans andel)</t>
  </si>
  <si>
    <t>Förbrukning av värme i renseriet (NSSC-massans del)</t>
  </si>
  <si>
    <t xml:space="preserve">uppmätt förbrukning av primärvärme vid renseriet, från att veden kommer in på vedgården tills att flisen separeras till produktion av sulfatmassa resp. NSSC-massa </t>
  </si>
  <si>
    <t>NSSC-massans del av uppmätt värmeförbrukning i renseriet</t>
  </si>
  <si>
    <t>NSSC-massans del av sekundärvärme som tillvaratas från renseriet</t>
  </si>
  <si>
    <t>NSSC-massans del av sekundärvärmeanvändning i renseriet</t>
  </si>
  <si>
    <t>NSSC-massans del av värmeförbrukning som fördelats till renseriet</t>
  </si>
  <si>
    <t>NSSC-massans del av drivmedel och övrigt bränsle som används i verksamhet som kan hänföras till renseri, t.ex. truckar på vedgården.</t>
  </si>
  <si>
    <t>bränsle som används för att producera direktvärme för torkning av NSSC-massa, t.ex. direkteldade flingtorkar</t>
  </si>
  <si>
    <t>NSSC-massans del av fossilt drivmedel och övrigt bränsle som används i verksamhet som kan hänföras till renseri, t.ex. truckar på vedgården.</t>
  </si>
  <si>
    <t>fossilt bränsle som används för att producera direktvärme för torkning av NSSC-massa, t.ex. direkteldade flingtorkar</t>
  </si>
  <si>
    <t>fossilt drivmedel och övrigt bränsle som används i verksamhet som kan hänföras till torkningen av NSSC-massa, t.ex. truckar för utlastning av avsalumassa</t>
  </si>
  <si>
    <t xml:space="preserve">ved/flis till produktion av NSSC-massa </t>
  </si>
  <si>
    <t>Ma avsalu NSSC</t>
  </si>
  <si>
    <t>el rens NSSC gem</t>
  </si>
  <si>
    <t>gemensam elförbrukning som fördelats till, eller med utgångspunkt från andel av uppmätt förbrukning hänförts till produktion av NSSC-pumpmassa (exkl. renseri)</t>
  </si>
  <si>
    <t>gemensam elförbrukning som fördelats till, eller med utgångspunkt från andel av uppmätt förbrukning hänförts till torkning av NSSC-pumpmassa till avsalumassa</t>
  </si>
  <si>
    <t>uppmätt elförbrukning för produktion av NSSC-pumpmassa, exkl. el till renseriet</t>
  </si>
  <si>
    <t xml:space="preserve">uppmätt elförbrukning för torkning av NSSC-pumpmassa till avsalumassa </t>
  </si>
  <si>
    <t xml:space="preserve">del av gemensam elförbrukning (inkl. gemensam balanspost) som kan fördelas till produktion av NSSC-pumpmassa (exkl. renseri) baserat på rimliga antaganden och uppskattningar </t>
  </si>
  <si>
    <t xml:space="preserve">del av gemensam elförbrukning (inkl. gemensam balanspost) som kan fördelas till torkning av NSSC-pumpmassa till avsalumassa baserat på rimliga antaganden och uppskattningar </t>
  </si>
  <si>
    <t>Förbrukning av el för produktion av NSSC-pumpmassa (exkl. renseri)</t>
  </si>
  <si>
    <t>Förbrukning av el för produktion av NSSC-pumpmassa</t>
  </si>
  <si>
    <t>gemensam värmeförbrukning som fördelats till, eller med utgångspunkt från andel av uppmätt förbrukning hänförts till produktion av NSSC-pumpmassa (exkl. renseri)</t>
  </si>
  <si>
    <t>gemensam värmeförbrukning som fördelats till eller uppskattas användas förfördelats till, eller med utgångspunkt från andel av uppmätt förbrukning hänförts till torkning av NSSC-pumpmassa till avsalumassa</t>
  </si>
  <si>
    <t>Förbrukning av värme för produktion av NSSC-pumpmassa (exkl. renseri)</t>
  </si>
  <si>
    <t>uppmätt förbrukning av primärvärme för produktion av NSSC-pumpmassa (exkl. renseri)</t>
  </si>
  <si>
    <t>Förbrukning av värme för produktion av NSSC-pumpmassa</t>
  </si>
  <si>
    <t>Producerad raffinörsånga per producerad mängd NSSC-pumpmassa</t>
  </si>
  <si>
    <t>sekundärvärme som används för produktion av NSSC-pumpmassa (exkl. renseri)</t>
  </si>
  <si>
    <t xml:space="preserve">del av gemensam värmeförbrukning (inkl. friblåsning och gemensam balanspost) som kan fördelas till produktion av NSSC-pumpmassa (exkl. renseri) baserat på rimliga antaganden och uppskattningar </t>
  </si>
  <si>
    <t>del av gemensam värmeförbrukning (inkl. friblåsning och gemensam balanspost) som kan fördelas till torkning av NSSC-pumpmassa till avsalumassa baserat på rimliga antaganden och uppskattningar</t>
  </si>
  <si>
    <t>bränsle som används för att producera värme i form av ånga eller hetvatten fördelad till produktion av NSSC-pumpmassa</t>
  </si>
  <si>
    <t>bränsle som används för att producera värme i form av ånga eller hetvatten fördelad till torkning av NSSC-pumpmassa till avsalumassa</t>
  </si>
  <si>
    <t>Förbrukning av bränsle för produktion av NSSC-pumpmassa</t>
  </si>
  <si>
    <t>drivmedel och övrigt bränsle som används i verksamhet som kan hänföras till produktionen av NSSC-pumpmassa (exkl. renseri)</t>
  </si>
  <si>
    <t>fossilt bränsle som används för att producera värme i form av ånga eller hetvatten fördelad till produktion av NSSC-pumpmassa</t>
  </si>
  <si>
    <t>fossilt bränsle som används för att producera värme i form av ånga eller hetvatten fördelad till torkning av NSSC-pumpmassa till avsalumassa</t>
  </si>
  <si>
    <t>Förbrukning av fossilt bränsle för produktion av NSSC-pumpmassa</t>
  </si>
  <si>
    <t>fossilt drivmedel och övrigt bränsle som används i verksamhet som kan hänföras till produktionen av NSSC-pumpmassa (exl. renseri)</t>
  </si>
  <si>
    <t>Förbrukning av el för torkning av NSSC-avsalumassa</t>
  </si>
  <si>
    <t>uppmätt förbrukning av primärvärme för torkning av NSSC-avsalumassa</t>
  </si>
  <si>
    <t>Förbrukning av värme för torkning av NSSC-avsalumassa</t>
  </si>
  <si>
    <t>sekundärvärme som tillvaratas från torkningen av NSSC-avsalumassa</t>
  </si>
  <si>
    <t xml:space="preserve">	sekundärvärme som används för torkning av NSSC-avsalumassa</t>
  </si>
  <si>
    <t>Förbrukning av bränsle för torkning av NSSC-avsalumassa</t>
  </si>
  <si>
    <t>Förbrukning av fossilt bränsle för torkning av NSSC-avsalumassa</t>
  </si>
  <si>
    <t>el tork NSSC gem</t>
  </si>
  <si>
    <t>el tork NSSC uppm</t>
  </si>
  <si>
    <t>el rens NSSC br</t>
  </si>
  <si>
    <t>el använd för värmeproduktion fördelad till produktion av NSSC- pumpmassa (exkl. renseri)</t>
  </si>
  <si>
    <t>el tork NSSC br</t>
  </si>
  <si>
    <t>el använd för värmeproduktion fördelad till torkning av NSSC- avsalumassa</t>
  </si>
  <si>
    <t xml:space="preserve">el gem förd tork NSSC </t>
  </si>
  <si>
    <t>el rens NSSC</t>
  </si>
  <si>
    <t>el rens NSSC uppm</t>
  </si>
  <si>
    <t>el gem förd rens NSSC</t>
  </si>
  <si>
    <t>El pump NSSC</t>
  </si>
  <si>
    <t>El tork NSSC</t>
  </si>
  <si>
    <t>q rens NSSC gem</t>
  </si>
  <si>
    <t>q fiber NSSC gem</t>
  </si>
  <si>
    <t>q tork NSSC gem</t>
  </si>
  <si>
    <t>q rens NSSC</t>
  </si>
  <si>
    <t>q fiber NSSC</t>
  </si>
  <si>
    <t>q fiber NSSC uppm</t>
  </si>
  <si>
    <t>q tork NSSC uppm</t>
  </si>
  <si>
    <t>Q pump NSSC</t>
  </si>
  <si>
    <t>Q tork NSSC</t>
  </si>
  <si>
    <t>q rens NSSC uppm</t>
  </si>
  <si>
    <t>q fiber NSSC→sek</t>
  </si>
  <si>
    <t>q tork NSSC→sek</t>
  </si>
  <si>
    <t>q sek→fiber NSSC</t>
  </si>
  <si>
    <t>q sek→tork NSSC</t>
  </si>
  <si>
    <t>q rens NSSC→sek</t>
  </si>
  <si>
    <t>q sek→rens NSSC</t>
  </si>
  <si>
    <t>q gem förd fiber NSSC</t>
  </si>
  <si>
    <t>q gem förd tork NSSC</t>
  </si>
  <si>
    <t>q gem förd rens NSSC</t>
  </si>
  <si>
    <t>br pump NSSC panna</t>
  </si>
  <si>
    <t>br tork NSSC panna</t>
  </si>
  <si>
    <t xml:space="preserve">br rens NSSC övr </t>
  </si>
  <si>
    <t>Br pump NSSC</t>
  </si>
  <si>
    <t>Br tork NSSC</t>
  </si>
  <si>
    <t>br tork NSSC dir</t>
  </si>
  <si>
    <t>br tork NSSC övr</t>
  </si>
  <si>
    <t>br pump NSSC panna fos</t>
  </si>
  <si>
    <t>br tork NSSC panna fos</t>
  </si>
  <si>
    <t>br rens NSSC övr fos</t>
  </si>
  <si>
    <t>br tork NSSC dir fos</t>
  </si>
  <si>
    <t>Br pump NSSC fos</t>
  </si>
  <si>
    <t>Br tork NSSC fos</t>
  </si>
  <si>
    <t>br fiber NSSC övr fos</t>
  </si>
  <si>
    <t>br tork NSSC övr fos</t>
  </si>
  <si>
    <t>Ma pump NSSC</t>
  </si>
  <si>
    <t>El tot uppm</t>
  </si>
  <si>
    <t>Total uppmätt förbrukning av el vid massabruket</t>
  </si>
  <si>
    <t>bränsle som används för att producera direktvärme vid produktion av NSSC-pumpmassa, t.ex. NSSC-massans andel av bränsle till mesaugnen</t>
  </si>
  <si>
    <t>fossilt bränsle som används för att producera direktvärme vid produktion av sulfat-pumpmassa, t.ex. NSSC-massans andel av bränsle till mesaugnen</t>
  </si>
  <si>
    <t>SKOGENS SULFAT- NSSC- OCH RCF-BRUK</t>
  </si>
  <si>
    <t>Avsvärtning</t>
  </si>
  <si>
    <t>Special-produkter</t>
  </si>
  <si>
    <t>Ma pump RCF</t>
  </si>
  <si>
    <t>M6</t>
  </si>
  <si>
    <t>el pump RCF uppm</t>
  </si>
  <si>
    <t>uppmätt elförbrukning för produktion av RCF-pumpmassa</t>
  </si>
  <si>
    <t xml:space="preserve">el gem förd pump RCF </t>
  </si>
  <si>
    <t xml:space="preserve">del av gemensam elförbrukning (inkl. gemensam balanspost) som kan fördelas till produktion av RCF-pumpmassa  baserat på rimliga antaganden och uppskattningar </t>
  </si>
  <si>
    <t>el pump RCF gem</t>
  </si>
  <si>
    <t>gemensam elförbrukning som fördelats till, eller med utgångspunkt från andel av uppmätt förbrukning hänförts till produktion av RCF-pumpmassa</t>
  </si>
  <si>
    <t>el pump RCF br</t>
  </si>
  <si>
    <t>el använd för värmeproduktion fördelad till produktion av RCF-pumpmassa</t>
  </si>
  <si>
    <t>El pump RCF</t>
  </si>
  <si>
    <t>Förbrukning av el för produktion av RCF-pumpmassa</t>
  </si>
  <si>
    <t>E45</t>
  </si>
  <si>
    <t>E46</t>
  </si>
  <si>
    <t>E47</t>
  </si>
  <si>
    <t>E48</t>
  </si>
  <si>
    <t>q pump RCF uppm</t>
  </si>
  <si>
    <t>uppmätt förbrukning av primärvärme för produktion av RCF-pumpmassa</t>
  </si>
  <si>
    <t>q pump RCF→sek</t>
  </si>
  <si>
    <t>sekundärvärme som tillvaratas från produktionen av RCF-pumpmassa</t>
  </si>
  <si>
    <t>q sek→pump RCF</t>
  </si>
  <si>
    <t>sekundärvärme som används för produktion av RCF-pumpmassa</t>
  </si>
  <si>
    <t>q gem förd pump RCF</t>
  </si>
  <si>
    <t xml:space="preserve">del av gemensam värmeförbrukning (inkl. friblåsning och gemensam balanspost) som kan fördelas till produktion av RCF-pumpmassa  baserat på rimliga antaganden och uppskattningar </t>
  </si>
  <si>
    <t>q pump RCF gem</t>
  </si>
  <si>
    <t>gemensam värmeförbrukning som fördelats till, eller med utgångspunkt från andel av uppmätt förbrukning hänförts till produktion av RCF-pumpmassa</t>
  </si>
  <si>
    <t>Q pump RCF</t>
  </si>
  <si>
    <t>Förbrukning av värme för produktion av RCF-pumpmassa</t>
  </si>
  <si>
    <t>Q47</t>
  </si>
  <si>
    <t>Q48</t>
  </si>
  <si>
    <t>Q49</t>
  </si>
  <si>
    <t>br rejekt panna</t>
  </si>
  <si>
    <t>svärta och rejekt som uppkommer vid upparbetning av returpapperet och som förbränns i egna pannor</t>
  </si>
  <si>
    <t xml:space="preserve">br pump RCF övr </t>
  </si>
  <si>
    <t xml:space="preserve">drivmedel och övrigt bränsle som används i verksamhet som kan hänföras till produktionen av RCF-pumpmassa </t>
  </si>
  <si>
    <t>br pump RCF panna</t>
  </si>
  <si>
    <t>bränsle som används för att producera värme i form av ånga eller hetvatten fördelad till produktion av RCF-pumpmassa</t>
  </si>
  <si>
    <t>Br pump RCF</t>
  </si>
  <si>
    <t>Förbrukning av bränsle för produktion av RCF-pumpmassa</t>
  </si>
  <si>
    <t>B36</t>
  </si>
  <si>
    <t>B37</t>
  </si>
  <si>
    <t>B38</t>
  </si>
  <si>
    <t>br pump RCF övr fos</t>
  </si>
  <si>
    <t xml:space="preserve">fossilt drivmedel och övrigt bränsle som används i verksamhet som kan hänföras till produktionen av RCF-pumpmassa </t>
  </si>
  <si>
    <t>br pump RCF panna fos</t>
  </si>
  <si>
    <t>fossilt bränsle som används för att producera värme i form av ånga eller hetvatten fördelad till produktion av RCF-pumpmassa</t>
  </si>
  <si>
    <t>Br pump RCF fos</t>
  </si>
  <si>
    <t>Förbrukning av fossilt bränsle för produktion av RCF-pumpmassa</t>
  </si>
  <si>
    <t>F30</t>
  </si>
  <si>
    <t>F31</t>
  </si>
  <si>
    <t>F32</t>
  </si>
  <si>
    <t>Vedråvara</t>
  </si>
  <si>
    <r>
      <t xml:space="preserve">Ange vilken typ av vedråvara som används
</t>
    </r>
    <r>
      <rPr>
        <i/>
        <sz val="11"/>
        <color theme="1"/>
        <rFont val="Calibri"/>
        <family val="2"/>
        <scheme val="minor"/>
      </rPr>
      <t>[Infoga rader efter behov (om flera typer av vedråvara)]</t>
    </r>
  </si>
  <si>
    <t>Enhet</t>
  </si>
  <si>
    <t>Sulfatmassa</t>
  </si>
  <si>
    <t>Returmassa</t>
  </si>
  <si>
    <t>NSSC-massa</t>
  </si>
  <si>
    <t>V3</t>
  </si>
  <si>
    <t>Ved tot</t>
  </si>
  <si>
    <t>ved/flis totalt</t>
  </si>
  <si>
    <t xml:space="preserve">gemensam elförbrukning som fördelats till, eller med utgångspunkt från andel av uppmätt förbrukning hänförts tilltorkning av sulfat-pumpmassa till avsalumassa </t>
  </si>
  <si>
    <t>Q50</t>
  </si>
  <si>
    <t>Fyllmedel, bestrykning</t>
  </si>
  <si>
    <t>E49</t>
  </si>
  <si>
    <t>Q51</t>
  </si>
  <si>
    <t>B39</t>
  </si>
  <si>
    <t>Fasta biobränslen - övergripande balans</t>
  </si>
  <si>
    <t>F33</t>
  </si>
  <si>
    <t>Massatyp</t>
  </si>
  <si>
    <r>
      <t xml:space="preserve">Ange typ av massa
</t>
    </r>
    <r>
      <rPr>
        <i/>
        <sz val="11"/>
        <rFont val="Calibri"/>
        <family val="2"/>
        <scheme val="minor"/>
      </rPr>
      <t>[Infoga rader efter behov (om flera typer ]</t>
    </r>
  </si>
  <si>
    <r>
      <t xml:space="preserve">Ange vilken typ av vedråvara som används
</t>
    </r>
    <r>
      <rPr>
        <i/>
        <sz val="11"/>
        <rFont val="Calibri"/>
        <family val="2"/>
        <scheme val="minor"/>
      </rPr>
      <t>[Infoga rader efter behov (om flera typer av vedråvara)]</t>
    </r>
  </si>
  <si>
    <r>
      <t xml:space="preserve">Ange vilken/vilka typ(er) av blekning som används, och massaproduktion av respektive typ
</t>
    </r>
    <r>
      <rPr>
        <i/>
        <sz val="11"/>
        <rFont val="Calibri"/>
        <family val="2"/>
        <scheme val="minor"/>
      </rPr>
      <t>[Infoga rader efter behov (om flera typer av blekning)]</t>
    </r>
  </si>
  <si>
    <r>
      <t xml:space="preserve">Ange produktion av avsvärtad respektive ej avsvärtad massa.
</t>
    </r>
    <r>
      <rPr>
        <i/>
        <sz val="11"/>
        <rFont val="Calibri"/>
        <family val="2"/>
        <scheme val="minor"/>
      </rPr>
      <t>[Infoga fler rader om både avsvärtad och ej avsvärtad massa produceras]</t>
    </r>
  </si>
  <si>
    <r>
      <t xml:space="preserve">Ange om fyllmedel eller bestrykningsmedel används (ökar pappersproduktionens vikt)
</t>
    </r>
    <r>
      <rPr>
        <i/>
        <sz val="11"/>
        <rFont val="Calibri"/>
        <family val="2"/>
        <scheme val="minor"/>
      </rPr>
      <t>[Infoga rader efter behov]</t>
    </r>
  </si>
  <si>
    <t>produktion av RCF-pumpmassa</t>
  </si>
  <si>
    <t>balanspost för el, avvikelse mellan tillförsel och uppmätt användning (inkluderar t.ex. förluster, ouppmätt förbrukning, mätfel osv)</t>
  </si>
  <si>
    <t>GJ/ADt+ton</t>
  </si>
  <si>
    <t>GJ/ton</t>
  </si>
  <si>
    <t>balanspost för primärvärme, avvikelse mellan produktion och uppmätt förbrukning (inkluderar förluster, ouppmätt förbrukning, mätfel osv)</t>
  </si>
  <si>
    <t>GJ/Adt</t>
  </si>
  <si>
    <t>egengenererat biobränsle (t.ex. bark) som uppkommit utanför ”inre systemgräns” på bruket (dvs i vedhantering/renseri)</t>
  </si>
  <si>
    <t>drivmedel och övrigt bränsle som används i verksamhet som kan hänföras till torkningen av NSSC-massa, t.ex. truckar för utlastning av avsalumassa</t>
  </si>
  <si>
    <t>br uppsl panna fos</t>
  </si>
  <si>
    <t>br pa panna fos</t>
  </si>
  <si>
    <t>br såld rejekt</t>
  </si>
  <si>
    <r>
      <t>rejekt som uppkommer vid upparbetning av returpapperet och som säljs till externa förbrukare</t>
    </r>
    <r>
      <rPr>
        <b/>
        <sz val="11"/>
        <color theme="1"/>
        <rFont val="Calibri"/>
        <family val="2"/>
        <scheme val="minor"/>
      </rPr>
      <t xml:space="preserve"> (används endast vid beräkning med yttre systemgräns)</t>
    </r>
  </si>
  <si>
    <t>egen produktion av sulfat-pumpmassa (inkl avsalumassa)</t>
  </si>
  <si>
    <t>egen produktion av NSSC-pumpmassa (inkl avsalumassa)</t>
  </si>
  <si>
    <t>q prim kond</t>
  </si>
  <si>
    <t>verkningsgrad för barkpanna eller annan energipanna som producerar ånga för kondenselproduktion. Om inte verkningsgraden är känd för pannan sätts den schablonmässigt till 85 %.</t>
  </si>
  <si>
    <t>B40</t>
  </si>
  <si>
    <t>ånga som används för produktion av kondensel</t>
  </si>
  <si>
    <t>fossilt bränsle som gått åt för att producera kondensel</t>
  </si>
  <si>
    <t>η fos kond</t>
  </si>
  <si>
    <t>F34</t>
  </si>
  <si>
    <t>η kond</t>
  </si>
  <si>
    <t>el prod kond</t>
  </si>
  <si>
    <t>el producerad som mottryckskraft i turbin vid bruket</t>
  </si>
  <si>
    <t>el producerad som kondenskraft i turbin vid bruket</t>
  </si>
  <si>
    <t>ånga som tillförs processen efter passage av mottrycksproduktion, dvs ånga ut från turbiner anslutna till sodapanna, fastbränslepanna eller annan panna</t>
  </si>
  <si>
    <t>direktreducerad ånga som tillförs processen från sodapanna, fastbränslepanna eller annan panna utan att passera mottrycksturbin</t>
  </si>
  <si>
    <t>Inköpt kalk</t>
  </si>
  <si>
    <t>Ange om bränd kalk köps in på grund av begränsad kapacitet i mesaugnen. Ange andelen inköpt kalk av total kalkförbrukning.</t>
  </si>
  <si>
    <t>vikt%</t>
  </si>
  <si>
    <t>br ext prim värme</t>
  </si>
  <si>
    <t>el inköpt</t>
  </si>
  <si>
    <t>sekundärvärme från bruket som säljs till extern förbrukare</t>
  </si>
  <si>
    <t>balanspost för sekundärvärme, avvikelse mellan summan av värmekällor och värmesänkor (hänförs till gemensamma funktioner)</t>
  </si>
  <si>
    <t>BRÄNSLEFÖRBRUKNING TOTALT</t>
  </si>
  <si>
    <t>bränsle som använts för att producera kondensel</t>
  </si>
  <si>
    <t>B41</t>
  </si>
  <si>
    <t>verkningsgrad för fossileldad energipanna som producerar ånga för kondenselproduktion. Sätts schablonmässigt till 90% om  verkningsgraden för pannan inte är känd. Lämnas tom om fossilt bränsle aldrig används vid kondensdrift.</t>
  </si>
  <si>
    <t>bränsle som använts för att producera primärvärme som levereras externt (t.ex. till fjärrvärme)</t>
  </si>
  <si>
    <t>br ext prim värme fos</t>
  </si>
  <si>
    <t>Fossilt bränsle som används för produktion av ånga och varmvatten eller för kondensel</t>
  </si>
  <si>
    <t>F35</t>
  </si>
  <si>
    <t>raffinörsånga som säljs till extern förbrukare eller dumpas</t>
  </si>
  <si>
    <t>primärvärme som säljs till extern förbrukare</t>
  </si>
  <si>
    <t>se PM avsnitt 2.4. 'Värme' för ytterligare instruktioner om hur producerad och förbrukad ånga ska anges</t>
  </si>
  <si>
    <t>egengenererad och inköpt bark och annat fast biobränsle</t>
  </si>
  <si>
    <t>B42</t>
  </si>
  <si>
    <t>B43</t>
  </si>
  <si>
    <t>%</t>
  </si>
  <si>
    <t>Barr - rundved</t>
  </si>
  <si>
    <t>Barr - flis</t>
  </si>
  <si>
    <t>Pappersmassa</t>
  </si>
  <si>
    <t>ECF-blekt</t>
  </si>
  <si>
    <t>Löv - rundved</t>
  </si>
  <si>
    <t>Oblekt</t>
  </si>
  <si>
    <t>Egenproducerade</t>
  </si>
  <si>
    <t>I huvudsak egenproducerad kalk</t>
  </si>
  <si>
    <t>[Om betydande mängd inköpt kalk, ange ungefärlig andel inköpt]</t>
  </si>
  <si>
    <t>Avsvärtad</t>
  </si>
  <si>
    <t>Ditionit+Väteperoxid</t>
  </si>
  <si>
    <t>Inköpta</t>
  </si>
  <si>
    <t>Förpackningskartong</t>
  </si>
  <si>
    <t>Wellpappmaterial</t>
  </si>
  <si>
    <t>Förpackningspapper</t>
  </si>
  <si>
    <t>Fyllmedel</t>
  </si>
  <si>
    <t>Mottryck</t>
  </si>
  <si>
    <t>Mek massa</t>
  </si>
  <si>
    <t>Freeness</t>
  </si>
  <si>
    <r>
      <t xml:space="preserve">Ange massans freeness
</t>
    </r>
    <r>
      <rPr>
        <i/>
        <sz val="11"/>
        <rFont val="Calibri"/>
        <family val="2"/>
        <scheme val="minor"/>
      </rPr>
      <t>[Infoga rader efter behov (om flera massatyper]</t>
    </r>
  </si>
  <si>
    <t>ml CSF</t>
  </si>
  <si>
    <t>[Ange värden för huvudsakliga massatyper, eller intervall]</t>
  </si>
  <si>
    <t>(Ungefärlig mängd eller andel av respektive råvara och fördelning per massatyp (om flera används)]</t>
  </si>
  <si>
    <t>Kondens</t>
  </si>
  <si>
    <t>br såld tall/terp</t>
  </si>
  <si>
    <t>såld tallolja och terpentin</t>
  </si>
  <si>
    <t>br pump sulf dir</t>
  </si>
  <si>
    <t>br pump NSSC dir</t>
  </si>
  <si>
    <t xml:space="preserve">br pump sulf övr </t>
  </si>
  <si>
    <t xml:space="preserve">br pump NSSC övr </t>
  </si>
  <si>
    <t>Br tot inre netto alt</t>
  </si>
  <si>
    <t>Br tork sulf alt</t>
  </si>
  <si>
    <t>Br uppsl alt</t>
  </si>
  <si>
    <t>Br pa alt</t>
  </si>
  <si>
    <t>Br pump NSSC alt</t>
  </si>
  <si>
    <t>Br pump sulf alt</t>
  </si>
  <si>
    <t>Br pump RCF alt</t>
  </si>
  <si>
    <t>Br tork NSSC alt</t>
  </si>
  <si>
    <t>B44</t>
  </si>
  <si>
    <t>B45</t>
  </si>
  <si>
    <t>B46</t>
  </si>
  <si>
    <t>B47</t>
  </si>
  <si>
    <t>B48</t>
  </si>
  <si>
    <t>B49</t>
  </si>
  <si>
    <t>B50</t>
  </si>
  <si>
    <t>B51</t>
  </si>
  <si>
    <t>B52</t>
  </si>
  <si>
    <t>B53</t>
  </si>
  <si>
    <t>B54</t>
  </si>
  <si>
    <t>B55</t>
  </si>
  <si>
    <t>B56</t>
  </si>
  <si>
    <t>B57</t>
  </si>
  <si>
    <t>B58</t>
  </si>
  <si>
    <t>B59</t>
  </si>
  <si>
    <t>B60</t>
  </si>
  <si>
    <t>Br tot fos alt</t>
  </si>
  <si>
    <t>Br pump sulf fos alt</t>
  </si>
  <si>
    <t>Br pump NSSC fos alt</t>
  </si>
  <si>
    <t>Br pump RCF fos alt</t>
  </si>
  <si>
    <t>Br tork sulf fos alt</t>
  </si>
  <si>
    <t>Br tork NSSC fos alt</t>
  </si>
  <si>
    <t>Br uppsl fos alt</t>
  </si>
  <si>
    <t>Br pa fos alt</t>
  </si>
  <si>
    <t>br pump sulf dir fos</t>
  </si>
  <si>
    <t>br pump NSSC dir fos</t>
  </si>
  <si>
    <t>F36</t>
  </si>
  <si>
    <t>F37</t>
  </si>
  <si>
    <t>F38</t>
  </si>
  <si>
    <t>F39</t>
  </si>
  <si>
    <t>F40</t>
  </si>
  <si>
    <t>F41</t>
  </si>
  <si>
    <t>F42</t>
  </si>
  <si>
    <t>F43</t>
  </si>
  <si>
    <t>F44</t>
  </si>
  <si>
    <t>F45</t>
  </si>
  <si>
    <t>F46</t>
  </si>
  <si>
    <t>F47</t>
  </si>
  <si>
    <t>F48</t>
  </si>
  <si>
    <t>F49</t>
  </si>
  <si>
    <t>F50</t>
  </si>
  <si>
    <t>F51</t>
  </si>
  <si>
    <t>F52</t>
  </si>
  <si>
    <t>Elförbrukning</t>
  </si>
  <si>
    <t>Värmeförbrukning</t>
  </si>
  <si>
    <t>Bränsleförbrukning</t>
  </si>
  <si>
    <t>Fossil bränsleförbrukning</t>
  </si>
  <si>
    <t xml:space="preserve"> - totalt för bruket per producerad mängd slutprodukt</t>
  </si>
  <si>
    <t xml:space="preserve"> - per producerad mängd sulfat-pumpmassa</t>
  </si>
  <si>
    <t xml:space="preserve"> - per producerad mängd torkad sulfat-avsalumassa</t>
  </si>
  <si>
    <t xml:space="preserve"> - per producerad mängd NSSC-pumpmassa</t>
  </si>
  <si>
    <t xml:space="preserve"> - per producerad mängd torkad NSSC-avsalumassa</t>
  </si>
  <si>
    <t xml:space="preserve"> - per producerad mängd RCF-pumpmassa</t>
  </si>
  <si>
    <t xml:space="preserve"> - per producerad mängd papper från pumpmassa</t>
  </si>
  <si>
    <t xml:space="preserve"> - per producerad mängd papper från inköpt massa</t>
  </si>
  <si>
    <t xml:space="preserve"> - per producerad mängd RCF-pumpmassa + papper</t>
  </si>
  <si>
    <t>E50</t>
  </si>
  <si>
    <t>E51</t>
  </si>
  <si>
    <t>E52</t>
  </si>
  <si>
    <t>E53</t>
  </si>
  <si>
    <t>E54</t>
  </si>
  <si>
    <t>E55</t>
  </si>
  <si>
    <t>E56</t>
  </si>
  <si>
    <t>E57</t>
  </si>
  <si>
    <t>E58</t>
  </si>
  <si>
    <t>E59</t>
  </si>
  <si>
    <t>el gem förd pump sulf</t>
  </si>
  <si>
    <t xml:space="preserve">el gem förd pump NSSC </t>
  </si>
  <si>
    <t>el pump sulf gem</t>
  </si>
  <si>
    <t>el pump NSSC gem</t>
  </si>
  <si>
    <t>el pump NSSC br</t>
  </si>
  <si>
    <t>el pump sulf br</t>
  </si>
  <si>
    <t>el pump sulf</t>
  </si>
  <si>
    <t>el pump NSSC</t>
  </si>
  <si>
    <t xml:space="preserve"> - för torkning, per producerad sulfat-avsalumassa</t>
  </si>
  <si>
    <t xml:space="preserve"> - för torkning, per producerad NSSC-avsalumassa</t>
  </si>
  <si>
    <t>E60</t>
  </si>
  <si>
    <t>E61</t>
  </si>
  <si>
    <t>E62</t>
  </si>
  <si>
    <t>E63</t>
  </si>
  <si>
    <t>el pump NSSC uppm</t>
  </si>
  <si>
    <t>el pump sulf uppm</t>
  </si>
  <si>
    <t xml:space="preserve"> - totalt per producerad mängd torkad sulfat-avsalumassa</t>
  </si>
  <si>
    <t xml:space="preserve"> - för torkning per producerad mängd torkad sulfat-avsalumassa</t>
  </si>
  <si>
    <t>Q52</t>
  </si>
  <si>
    <t xml:space="preserve"> - för torkning per producerad mängd sulfat-avsalumassa</t>
  </si>
  <si>
    <t xml:space="preserve"> - för torkning per producerad mängd NSSC-avsalumassa</t>
  </si>
  <si>
    <t>B61</t>
  </si>
  <si>
    <t>B62</t>
  </si>
  <si>
    <t>B63</t>
  </si>
  <si>
    <t>sulfatmassaproduktionens del av gemensam elförbrukning som fördelats till renseriet</t>
  </si>
  <si>
    <t>NSSC-massaproduktionens del av gemensamelförbrukning som fördelats till renseriet</t>
  </si>
  <si>
    <t xml:space="preserve"> - för torkning, per produceradamängd NSSC-avsalumassa</t>
  </si>
  <si>
    <t>Q53</t>
  </si>
  <si>
    <t xml:space="preserve"> - totalt per producerad mängd torkad NSSC-avsalumassa</t>
  </si>
  <si>
    <t xml:space="preserve"> - för torkning, per producerad mängd sulfat-avsalumassa</t>
  </si>
  <si>
    <t>F53</t>
  </si>
  <si>
    <t>F54</t>
  </si>
  <si>
    <t>F55</t>
  </si>
  <si>
    <t>F56</t>
  </si>
  <si>
    <t>alt 0</t>
  </si>
  <si>
    <t>alt 1</t>
  </si>
  <si>
    <t>Ångproduktion från raffinörer</t>
  </si>
  <si>
    <t>Versionsdatum för beräkningsmodellen</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</si>
  <si>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</si>
  <si>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</si>
  <si>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</si>
  <si>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 xml:space="preserve"> - SULFAT-, NSSC- OCH RCF-MASSA + PAPPER</t>
  </si>
  <si>
    <t>INTEGRERAT MASSA- OCH PAPPERSBRUK</t>
  </si>
  <si>
    <t>el prod mot</t>
  </si>
  <si>
    <t xml:space="preserve">summa egenproducerad värme exklusive raffinörer </t>
  </si>
  <si>
    <t>Summa bränsle direktvärme, inre systemgräns (beräknad från bränsleslag)</t>
  </si>
  <si>
    <t>Summa bränsle direktvärme, inre systemgräns (beräknad från ändamål)</t>
  </si>
  <si>
    <t>Summa bränsle direktvärme, yttre systemgräns (beräknad från bränsleslag)</t>
  </si>
  <si>
    <t>η fos ext</t>
  </si>
  <si>
    <t>202X-XX-XX</t>
  </si>
  <si>
    <t>202X</t>
  </si>
  <si>
    <t>Br sålt inre</t>
  </si>
  <si>
    <t>Summa sålt energiprod som uppkommit inom inre systemgräns</t>
  </si>
  <si>
    <t>Sålda energiprodukter</t>
  </si>
  <si>
    <t>br sålt övr sulf</t>
  </si>
  <si>
    <t>br sålt övr NSSC</t>
  </si>
  <si>
    <t>övriga sålda energiprodukter från sulfatmassaproduktionen ( t ex lignin, metanol), exkl. bark och annat biobränsle som uppkommeri vedhantering/renseri</t>
  </si>
  <si>
    <t>övriga sålda energiprodukter från NSSC-massaproduktionen, exkl. bark och annat biobränsle som uppkommeri vedhantering/renseri</t>
  </si>
  <si>
    <t>br kondensel</t>
  </si>
  <si>
    <t>br kondensel fos</t>
  </si>
  <si>
    <t>Alternativ 0: all elanvändning, inkl el till elpannor</t>
  </si>
  <si>
    <t>Alternativ 1: exkl el som används i elpanna för värmeproduktion</t>
  </si>
  <si>
    <t>Alternativ 0: all bränsleförbrukning, inkl  bränsle till pannor, inre systemgräns</t>
  </si>
  <si>
    <t>Alternativ 1: exkl bränsle till pannor, inre systemgräns</t>
  </si>
  <si>
    <t>Alternativ 0: all fossil bränsleförbrukning, inkl  bränsle till pannor</t>
  </si>
  <si>
    <t>Alternativ 1: exkl bränsle till pannor</t>
  </si>
  <si>
    <t>Alternativ 1: enbart bränsle för annat ändamål än värmeproduktion i pannor</t>
  </si>
  <si>
    <t>Alternativ 2: all användning av bränsle (inkl pannor), men yttre systemgräns (används ej för nyckeltal)</t>
  </si>
  <si>
    <t>Alternativ 1: enbart bränsle för annat ändamål än värmeproduktion i pannor, inre systemgräns</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</si>
  <si>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</si>
  <si>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produktion av papper och kartong (säljbar produkt, före ev konvertering)</t>
  </si>
  <si>
    <t>q prim såld</t>
  </si>
  <si>
    <t>q raff såld</t>
  </si>
  <si>
    <t>q sek såld</t>
  </si>
  <si>
    <t>br såld prim värme</t>
  </si>
  <si>
    <t>br såld prim värme fos</t>
  </si>
  <si>
    <t>el ext</t>
  </si>
  <si>
    <t>verkningsgrad för fossileldad energipanna som producerar ånga som levereras externt eller används vid bruket, men i anläggning utanför systemgräns för konventionell massa/pappersproduktion. Om inte verkningsgraden för pannan är känd sätts den schablonmässigt till 90 %. Lämnas tom om fossilt bränsle aldrig används för att producera sådan värme.</t>
  </si>
  <si>
    <t>fossilt bränsle som använts för att producera primärvärme som levereras externt (t.ex. till fjärrvärme)</t>
  </si>
  <si>
    <t>fossilt bränsle som använts för att producera primärvärme som används vid bruket, men utanför systemgränsen för massa- och pappersproduktionen</t>
  </si>
  <si>
    <t>verkningsgrad för barkpanna eller annan energipanna som producerar ånga som levereras externt eller används vid bruket, men i anläggning utanför systemgräns för konventionell massa/pappersproduktion. Om inte verkningsgraden för pannan är känd sätts den schablonmässigt till 85 %.</t>
  </si>
  <si>
    <t>bränsle som använts för att producera primärvärme som används vid bruket, men utanför systemgränsen för massa- och pappersproduktionen</t>
  </si>
  <si>
    <t>sekundärvärme som används i egna processer utanför systemgränsen för konventionell massa-/pappersproduktion (t.ex. för papperskonvertering eller för upparbetning av biprodukter som lignin eller metanol)</t>
  </si>
  <si>
    <t>primärvärme som används i egna processer utanför systemgränsen för konventionell massa-/pappersproduktion (t.ex. för papperskonvertering eller för upparbetning av biprodukter som lignin eller metanol)</t>
  </si>
  <si>
    <t>el som används i egna processer utanför systemgränsen för konventionell massa-/pappersproduktion (t.ex. för papperskonvertering eller för upparbetning av biprodukter som lignin eller metanol)</t>
  </si>
  <si>
    <t xml:space="preserve"> Alternativ 0: värmeförbrukning inklusive raffinörsånga</t>
  </si>
  <si>
    <t xml:space="preserve"> Alternativ 1: exklusive raffinörsånga</t>
  </si>
  <si>
    <t>sekundärvärme som tillvaratas från produktionen av NSSC-pumpmassa (exkl. renseri). Exkl raffinörsånga</t>
  </si>
  <si>
    <t>ånga som produceras i ångomformare för ångåtervinning från raffinörer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</si>
</sst>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4" x14ac:knownFonts="1">
    <font>
      <sz val="11"/>
      <color theme="1"/>
      <name val="Calibri"/>
      <family val="2"/>
      <scheme val="minor"/>
    </font>
    <font>
      <b/>
      <sz val="11"/>
      <color theme="1"/>
      <name val="Calibri"/>
      <family val="2"/>
      <scheme val="minor"/>
    </font>
    <font>
      <b/>
      <i/>
      <sz val="18"/>
      <color theme="3" tint="-0.249977111117893"/>
      <name val="Franklin Gothic Book"/>
      <family val="2"/>
    </font>
    <font>
      <i/>
      <sz val="11"/>
      <color theme="1"/>
      <name val="Calibri"/>
      <family val="2"/>
      <scheme val="minor"/>
    </font>
    <font>
      <sz val="11"/>
      <color theme="3" tint="-0.249977111117893"/>
      <name val="Calibri"/>
      <family val="2"/>
      <scheme val="minor"/>
    </font>
    <font>
      <sz val="11"/>
      <color rgb="FF4B876C"/>
      <name val="Calibri"/>
      <family val="2"/>
      <scheme val="minor"/>
    </font>
    <font>
      <b/>
      <sz val="11"/>
      <color theme="3" tint="-0.249977111117893"/>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b/>
      <i/>
      <sz val="11"/>
      <color theme="1"/>
      <name val="Calibri"/>
      <family val="2"/>
      <scheme val="minor"/>
    </font>
    <font>
      <sz val="11"/>
      <color theme="1"/>
      <name val="Calibri"/>
      <family val="2"/>
      <scheme val="minor"/>
    </font>
    <font>
      <b/>
      <i/>
      <sz val="11"/>
      <name val="Calibri"/>
      <family val="2"/>
      <scheme val="minor"/>
    </font>
    <font>
      <sz val="11"/>
      <color theme="1"/>
      <name val="Calibri"/>
      <family val="2"/>
    </font>
    <font>
      <b/>
      <sz val="11"/>
      <name val="Calibri"/>
      <family val="2"/>
      <scheme val="minor"/>
    </font>
    <font>
      <b/>
      <sz val="16"/>
      <color rgb="FFFF0000"/>
      <name val="Calibri"/>
      <family val="2"/>
      <scheme val="minor"/>
    </font>
    <font>
      <i/>
      <sz val="11"/>
      <name val="Calibri"/>
      <family val="2"/>
      <scheme val="minor"/>
    </font>
    <font>
      <sz val="12"/>
      <color rgb="FFFF0000"/>
      <name val="Calibri"/>
      <family val="2"/>
      <scheme val="minor"/>
    </font>
    <font>
      <b/>
      <i/>
      <sz val="11"/>
      <color rgb="FFFF0000"/>
      <name val="Calibri"/>
      <family val="2"/>
      <scheme val="minor"/>
    </font>
    <font>
      <i/>
      <sz val="11"/>
      <color rgb="FF0070C0"/>
      <name val="Calibri"/>
      <family val="2"/>
      <scheme val="minor"/>
    </font>
    <font>
      <b/>
      <sz val="18"/>
      <color theme="1"/>
      <name val="Calibri"/>
      <family val="2"/>
      <scheme val="minor"/>
    </font>
    <font>
      <b/>
      <sz val="18"/>
      <name val="Calibri"/>
      <family val="2"/>
      <scheme val="minor"/>
    </font>
    <font>
      <b/>
      <sz val="16"/>
      <color rgb="FF0070C0"/>
      <name val="Calibri"/>
      <family val="2"/>
      <scheme val="minor"/>
    </font>
    <font>
      <b/>
      <sz val="12"/>
      <name val="Calibri"/>
      <family val="2"/>
      <scheme val="minor"/>
    </font>
    <font>
      <b/>
      <sz val="16"/>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s>
  <borders count="5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right/>
      <top/>
      <bottom style="thin">
        <color theme="0" tint="-0.14993743705557422"/>
      </bottom>
      <diagonal/>
    </border>
    <border>
      <left style="medium">
        <color indexed="64"/>
      </left>
      <right/>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thin">
        <color indexed="64"/>
      </bottom>
      <diagonal/>
    </border>
    <border>
      <left style="medium">
        <color indexed="64"/>
      </left>
      <right/>
      <top style="thin">
        <color indexed="64"/>
      </top>
      <bottom/>
      <diagonal/>
    </border>
    <border>
      <left style="thin">
        <color theme="0" tint="-0.14996795556505021"/>
      </left>
      <right/>
      <top style="thin">
        <color indexed="64"/>
      </top>
      <bottom/>
      <diagonal/>
    </border>
    <border>
      <left style="thin">
        <color theme="0" tint="-0.14996795556505021"/>
      </left>
      <right/>
      <top/>
      <bottom/>
      <diagonal/>
    </border>
    <border>
      <left/>
      <right style="medium">
        <color indexed="64"/>
      </right>
      <top/>
      <bottom style="thin">
        <color indexed="64"/>
      </bottom>
      <diagonal/>
    </border>
    <border>
      <left style="thin">
        <color theme="0" tint="-0.14996795556505021"/>
      </left>
      <right/>
      <top/>
      <bottom style="thin">
        <color theme="0" tint="-0.14993743705557422"/>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s>
  <cellStyleXfs count="3">
    <xf numFmtId="0" fontId="0" fillId="0" borderId="0"/>
    <xf numFmtId="9" fontId="20" fillId="0" borderId="0" applyFont="0" applyFill="0" applyBorder="0" applyAlignment="0" applyProtection="0"/>
    <xf numFmtId="0" fontId="20" fillId="9" borderId="0" applyNumberFormat="0" applyBorder="0" applyAlignment="0" applyProtection="0"/>
  </cellStyleXfs>
  <cellXfs count="375">
    <xf numFmtId="0" fontId="0" fillId="0" borderId="0" xfId="0"/>
    <xf numFmtId="0" fontId="2" fillId="0" borderId="0" xfId="0" applyFont="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8" fillId="0" borderId="0" xfId="0" applyFont="1"/>
    <xf numFmtId="0" fontId="0" fillId="5" borderId="0" xfId="0" applyFill="1" applyAlignment="1">
      <alignment wrapText="1"/>
    </xf>
    <xf numFmtId="0" fontId="1" fillId="5" borderId="0" xfId="0" applyFont="1" applyFill="1" applyAlignment="1">
      <alignment wrapText="1"/>
    </xf>
    <xf numFmtId="0" fontId="2" fillId="0" borderId="0" xfId="0" applyFont="1" applyAlignment="1">
      <alignment wrapText="1"/>
    </xf>
    <xf numFmtId="0" fontId="5" fillId="0" borderId="0" xfId="0" applyFont="1" applyAlignment="1">
      <alignment wrapText="1"/>
    </xf>
    <xf numFmtId="0" fontId="6" fillId="0" borderId="1" xfId="0" applyFont="1" applyBorder="1" applyAlignment="1">
      <alignment wrapText="1"/>
    </xf>
    <xf numFmtId="3" fontId="10" fillId="5" borderId="0" xfId="0" applyNumberFormat="1" applyFont="1" applyFill="1" applyAlignment="1">
      <alignment wrapText="1"/>
    </xf>
    <xf numFmtId="0" fontId="4" fillId="5" borderId="0" xfId="0" applyFont="1" applyFill="1" applyAlignment="1">
      <alignment wrapText="1"/>
    </xf>
    <xf numFmtId="0" fontId="7" fillId="0" borderId="0" xfId="0" applyFont="1" applyAlignment="1">
      <alignment wrapText="1"/>
    </xf>
    <xf numFmtId="0" fontId="17" fillId="0" borderId="0" xfId="0" applyFont="1" applyAlignment="1">
      <alignment wrapText="1"/>
    </xf>
    <xf numFmtId="0" fontId="17" fillId="5" borderId="0" xfId="0" applyFont="1" applyFill="1" applyAlignment="1">
      <alignment wrapText="1"/>
    </xf>
    <xf numFmtId="3" fontId="0" fillId="5" borderId="0" xfId="0" applyNumberFormat="1" applyFill="1" applyAlignment="1">
      <alignment wrapText="1"/>
    </xf>
    <xf numFmtId="0" fontId="3" fillId="0" borderId="0" xfId="0" applyFont="1" applyAlignment="1">
      <alignment wrapText="1"/>
    </xf>
    <xf numFmtId="3" fontId="10" fillId="0" borderId="0" xfId="0" applyNumberFormat="1" applyFont="1" applyAlignment="1">
      <alignment wrapText="1"/>
    </xf>
    <xf numFmtId="0" fontId="4" fillId="0" borderId="0" xfId="0" applyFont="1" applyAlignment="1">
      <alignment wrapText="1"/>
    </xf>
    <xf numFmtId="0" fontId="0" fillId="0" borderId="8" xfId="0" applyBorder="1" applyAlignment="1">
      <alignment wrapText="1"/>
    </xf>
    <xf numFmtId="0" fontId="0" fillId="0" borderId="10" xfId="0" applyBorder="1" applyAlignment="1">
      <alignment wrapText="1"/>
    </xf>
    <xf numFmtId="0" fontId="0" fillId="0" borderId="12" xfId="0" applyBorder="1" applyAlignment="1">
      <alignment wrapText="1"/>
    </xf>
    <xf numFmtId="0" fontId="8" fillId="0" borderId="0" xfId="0" applyFont="1" applyAlignment="1">
      <alignment wrapText="1"/>
    </xf>
    <xf numFmtId="0" fontId="1" fillId="0" borderId="7" xfId="0" applyFont="1" applyBorder="1" applyAlignment="1">
      <alignment wrapText="1"/>
    </xf>
    <xf numFmtId="0" fontId="1" fillId="0" borderId="8" xfId="0" applyFont="1" applyBorder="1" applyAlignment="1">
      <alignment wrapText="1"/>
    </xf>
    <xf numFmtId="0" fontId="0" fillId="0" borderId="0" xfId="0" applyAlignment="1">
      <alignment horizontal="center" wrapText="1"/>
    </xf>
    <xf numFmtId="0" fontId="1" fillId="0" borderId="18" xfId="0" applyFont="1" applyBorder="1" applyAlignment="1">
      <alignment wrapText="1"/>
    </xf>
    <xf numFmtId="0" fontId="19" fillId="0" borderId="8" xfId="0" applyFont="1" applyBorder="1" applyAlignment="1">
      <alignment wrapText="1"/>
    </xf>
    <xf numFmtId="0" fontId="19" fillId="0" borderId="8" xfId="0" applyFont="1" applyBorder="1" applyAlignment="1">
      <alignment horizontal="left" wrapText="1"/>
    </xf>
    <xf numFmtId="0" fontId="0" fillId="0" borderId="0" xfId="0" applyAlignment="1">
      <alignment horizontal="right" wrapText="1"/>
    </xf>
    <xf numFmtId="0" fontId="0" fillId="0" borderId="1" xfId="0" applyBorder="1" applyAlignment="1">
      <alignment horizontal="right" wrapText="1"/>
    </xf>
    <xf numFmtId="0" fontId="8" fillId="0" borderId="1" xfId="0" applyFont="1" applyBorder="1" applyAlignment="1">
      <alignment horizontal="right" wrapText="1"/>
    </xf>
    <xf numFmtId="0" fontId="6" fillId="0" borderId="0" xfId="0" applyFont="1" applyAlignment="1">
      <alignment wrapText="1"/>
    </xf>
    <xf numFmtId="0" fontId="8" fillId="0" borderId="0" xfId="0" applyFont="1" applyAlignment="1">
      <alignment horizontal="right" wrapText="1"/>
    </xf>
    <xf numFmtId="2"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1" fontId="1" fillId="0" borderId="0" xfId="0" applyNumberFormat="1" applyFont="1" applyAlignment="1">
      <alignment wrapText="1"/>
    </xf>
    <xf numFmtId="0" fontId="1" fillId="0" borderId="17" xfId="0" applyFont="1" applyBorder="1" applyAlignment="1">
      <alignment horizontal="center" wrapText="1"/>
    </xf>
    <xf numFmtId="0" fontId="1" fillId="0" borderId="15" xfId="0" applyFont="1" applyBorder="1" applyAlignment="1">
      <alignment horizontal="center" wrapText="1"/>
    </xf>
    <xf numFmtId="0" fontId="0" fillId="0" borderId="10" xfId="0" applyBorder="1" applyAlignment="1">
      <alignment horizontal="center" wrapText="1"/>
    </xf>
    <xf numFmtId="164" fontId="0" fillId="4" borderId="11" xfId="0" applyNumberFormat="1" applyFill="1" applyBorder="1" applyAlignment="1">
      <alignment horizontal="right" wrapText="1"/>
    </xf>
    <xf numFmtId="164" fontId="0" fillId="4" borderId="13" xfId="0" applyNumberFormat="1" applyFill="1" applyBorder="1" applyAlignment="1">
      <alignment horizontal="right" wrapText="1"/>
    </xf>
    <xf numFmtId="164" fontId="0" fillId="4" borderId="9" xfId="0" applyNumberFormat="1" applyFill="1" applyBorder="1" applyAlignment="1">
      <alignment horizontal="right" wrapText="1"/>
    </xf>
    <xf numFmtId="1" fontId="0" fillId="4" borderId="11" xfId="0" applyNumberFormat="1" applyFill="1" applyBorder="1" applyAlignment="1">
      <alignment horizontal="right" wrapText="1"/>
    </xf>
    <xf numFmtId="1" fontId="0" fillId="4" borderId="13" xfId="0" applyNumberFormat="1" applyFill="1" applyBorder="1" applyAlignment="1">
      <alignment horizontal="right" wrapText="1"/>
    </xf>
    <xf numFmtId="0" fontId="0" fillId="0" borderId="7" xfId="0" applyBorder="1" applyAlignment="1">
      <alignment horizontal="center" wrapText="1"/>
    </xf>
    <xf numFmtId="3" fontId="10" fillId="3" borderId="9" xfId="0" applyNumberFormat="1" applyFont="1" applyFill="1" applyBorder="1" applyAlignment="1">
      <alignment horizontal="left" wrapText="1"/>
    </xf>
    <xf numFmtId="3" fontId="10" fillId="3" borderId="11" xfId="0" applyNumberFormat="1" applyFont="1" applyFill="1" applyBorder="1" applyAlignment="1">
      <alignment horizontal="left" wrapText="1"/>
    </xf>
    <xf numFmtId="0" fontId="0" fillId="0" borderId="12" xfId="0" applyBorder="1" applyAlignment="1">
      <alignment horizontal="center" wrapText="1"/>
    </xf>
    <xf numFmtId="3" fontId="0" fillId="4" borderId="13" xfId="0" applyNumberFormat="1" applyFill="1" applyBorder="1" applyAlignment="1">
      <alignment wrapText="1"/>
    </xf>
    <xf numFmtId="3" fontId="8" fillId="4" borderId="13" xfId="0" applyNumberFormat="1" applyFont="1" applyFill="1" applyBorder="1" applyAlignment="1">
      <alignment horizontal="right" wrapText="1"/>
    </xf>
    <xf numFmtId="3" fontId="10" fillId="3" borderId="13" xfId="0" applyNumberFormat="1" applyFont="1" applyFill="1" applyBorder="1" applyAlignment="1">
      <alignment horizontal="left" wrapText="1"/>
    </xf>
    <xf numFmtId="3" fontId="10" fillId="3" borderId="11" xfId="0" applyNumberFormat="1" applyFont="1" applyFill="1" applyBorder="1" applyAlignment="1">
      <alignment horizontal="center" wrapText="1"/>
    </xf>
    <xf numFmtId="3" fontId="8" fillId="4" borderId="11" xfId="0" applyNumberFormat="1" applyFont="1" applyFill="1" applyBorder="1" applyAlignment="1">
      <alignment horizontal="right" wrapText="1"/>
    </xf>
    <xf numFmtId="3" fontId="13" fillId="3" borderId="11" xfId="0" applyNumberFormat="1" applyFont="1" applyFill="1" applyBorder="1" applyAlignment="1">
      <alignment horizontal="center" wrapText="1"/>
    </xf>
    <xf numFmtId="3" fontId="0" fillId="4" borderId="11" xfId="0" applyNumberFormat="1" applyFill="1" applyBorder="1" applyAlignment="1">
      <alignment wrapText="1"/>
    </xf>
    <xf numFmtId="0" fontId="1" fillId="0" borderId="7" xfId="0" applyFont="1" applyBorder="1" applyAlignment="1">
      <alignment horizontal="center" wrapText="1"/>
    </xf>
    <xf numFmtId="0" fontId="1" fillId="0" borderId="9" xfId="0" applyFont="1" applyBorder="1" applyAlignment="1">
      <alignment horizontal="center" wrapText="1"/>
    </xf>
    <xf numFmtId="3" fontId="0" fillId="4" borderId="9" xfId="0" applyNumberFormat="1" applyFill="1" applyBorder="1" applyAlignment="1">
      <alignment horizontal="right" wrapText="1"/>
    </xf>
    <xf numFmtId="0" fontId="18" fillId="0" borderId="1" xfId="0" applyFont="1" applyBorder="1"/>
    <xf numFmtId="3" fontId="13" fillId="3" borderId="11" xfId="0" applyNumberFormat="1" applyFont="1" applyFill="1" applyBorder="1" applyAlignment="1">
      <alignment horizontal="left" wrapText="1"/>
    </xf>
    <xf numFmtId="3" fontId="8" fillId="4" borderId="11" xfId="0" applyNumberFormat="1" applyFont="1" applyFill="1" applyBorder="1" applyAlignment="1">
      <alignment wrapText="1"/>
    </xf>
    <xf numFmtId="3" fontId="0" fillId="4" borderId="11" xfId="0" applyNumberFormat="1" applyFill="1" applyBorder="1" applyAlignment="1">
      <alignment horizontal="right" wrapText="1"/>
    </xf>
    <xf numFmtId="3" fontId="13" fillId="0" borderId="9" xfId="0" applyNumberFormat="1" applyFont="1" applyBorder="1" applyAlignment="1">
      <alignment wrapText="1"/>
    </xf>
    <xf numFmtId="3" fontId="8" fillId="2" borderId="13" xfId="0" applyNumberFormat="1" applyFont="1" applyFill="1" applyBorder="1" applyAlignment="1">
      <alignment wrapText="1"/>
    </xf>
    <xf numFmtId="3" fontId="8" fillId="0" borderId="9" xfId="0" applyNumberFormat="1" applyFont="1" applyBorder="1" applyAlignment="1">
      <alignment wrapText="1"/>
    </xf>
    <xf numFmtId="3" fontId="8" fillId="7" borderId="11" xfId="0" applyNumberFormat="1" applyFont="1" applyFill="1" applyBorder="1" applyAlignment="1">
      <alignment horizontal="left" wrapText="1"/>
    </xf>
    <xf numFmtId="4" fontId="13" fillId="3" borderId="11" xfId="0" applyNumberFormat="1" applyFont="1" applyFill="1" applyBorder="1" applyAlignment="1">
      <alignment horizontal="left" wrapText="1"/>
    </xf>
    <xf numFmtId="3" fontId="0" fillId="0" borderId="9" xfId="0" applyNumberFormat="1" applyBorder="1" applyAlignment="1">
      <alignment horizontal="right" wrapText="1"/>
    </xf>
    <xf numFmtId="0" fontId="0" fillId="0" borderId="24" xfId="0" applyBorder="1"/>
    <xf numFmtId="0" fontId="0" fillId="0" borderId="21" xfId="0" applyBorder="1" applyAlignment="1">
      <alignment wrapText="1"/>
    </xf>
    <xf numFmtId="0" fontId="12" fillId="8" borderId="14" xfId="0" applyFont="1" applyFill="1" applyBorder="1"/>
    <xf numFmtId="0" fontId="0" fillId="0" borderId="0" xfId="0" applyAlignment="1">
      <alignment horizontal="left" wrapText="1"/>
    </xf>
    <xf numFmtId="3" fontId="0" fillId="4" borderId="15" xfId="0" applyNumberFormat="1" applyFill="1" applyBorder="1" applyAlignment="1">
      <alignment wrapText="1"/>
    </xf>
    <xf numFmtId="0" fontId="1" fillId="0" borderId="0" xfId="0" applyFont="1" applyAlignment="1">
      <alignment horizontal="center" wrapText="1"/>
    </xf>
    <xf numFmtId="0" fontId="1" fillId="0" borderId="0" xfId="0" applyFont="1" applyAlignment="1">
      <alignment horizontal="left" wrapText="1"/>
    </xf>
    <xf numFmtId="4" fontId="8" fillId="4" borderId="11" xfId="0" applyNumberFormat="1" applyFont="1" applyFill="1" applyBorder="1" applyAlignment="1">
      <alignment horizontal="right" wrapText="1"/>
    </xf>
    <xf numFmtId="0" fontId="8" fillId="0" borderId="0" xfId="0" applyFont="1" applyAlignment="1">
      <alignment horizontal="left" wrapText="1"/>
    </xf>
    <xf numFmtId="0" fontId="0" fillId="0" borderId="1" xfId="0" applyBorder="1" applyAlignment="1">
      <alignment horizontal="center" wrapText="1"/>
    </xf>
    <xf numFmtId="0" fontId="0" fillId="2" borderId="1" xfId="0" applyFill="1" applyBorder="1" applyAlignment="1">
      <alignment horizontal="right" wrapText="1"/>
    </xf>
    <xf numFmtId="3" fontId="8" fillId="2" borderId="13" xfId="0" applyNumberFormat="1" applyFont="1" applyFill="1" applyBorder="1" applyAlignment="1">
      <alignment horizontal="right" wrapText="1"/>
    </xf>
    <xf numFmtId="0" fontId="21" fillId="0" borderId="8" xfId="0" applyFont="1" applyBorder="1" applyAlignment="1">
      <alignment wrapText="1"/>
    </xf>
    <xf numFmtId="0" fontId="0" fillId="0" borderId="18" xfId="0" applyBorder="1" applyAlignment="1">
      <alignment wrapText="1"/>
    </xf>
    <xf numFmtId="0" fontId="0" fillId="0" borderId="1" xfId="0" applyBorder="1" applyAlignment="1">
      <alignment horizontal="left" wrapText="1"/>
    </xf>
    <xf numFmtId="0" fontId="1" fillId="0" borderId="0" xfId="0" applyFont="1"/>
    <xf numFmtId="0" fontId="21" fillId="0" borderId="8" xfId="0" applyFont="1" applyBorder="1" applyAlignment="1">
      <alignment horizontal="left" wrapText="1"/>
    </xf>
    <xf numFmtId="0" fontId="9" fillId="0" borderId="0" xfId="0" applyFont="1" applyAlignment="1">
      <alignment horizontal="left" wrapText="1"/>
    </xf>
    <xf numFmtId="3" fontId="10" fillId="0" borderId="25" xfId="0" applyNumberFormat="1" applyFont="1" applyBorder="1" applyAlignment="1">
      <alignment horizontal="left" wrapText="1"/>
    </xf>
    <xf numFmtId="0" fontId="0" fillId="0" borderId="26" xfId="0" applyBorder="1" applyAlignment="1">
      <alignment wrapText="1"/>
    </xf>
    <xf numFmtId="3" fontId="10" fillId="0" borderId="27" xfId="0" applyNumberFormat="1" applyFont="1" applyBorder="1" applyAlignment="1">
      <alignment horizontal="left" wrapText="1"/>
    </xf>
    <xf numFmtId="0" fontId="1" fillId="9" borderId="27" xfId="2" applyFont="1" applyBorder="1"/>
    <xf numFmtId="0" fontId="1" fillId="0" borderId="0" xfId="0" quotePrefix="1" applyFont="1"/>
    <xf numFmtId="3" fontId="10" fillId="3" borderId="27" xfId="0" applyNumberFormat="1" applyFont="1" applyFill="1" applyBorder="1" applyAlignment="1">
      <alignment horizontal="left" wrapText="1"/>
    </xf>
    <xf numFmtId="0" fontId="0" fillId="0" borderId="26" xfId="0" quotePrefix="1" applyBorder="1" applyAlignment="1">
      <alignment wrapText="1"/>
    </xf>
    <xf numFmtId="0" fontId="0" fillId="0" borderId="11" xfId="0" applyBorder="1"/>
    <xf numFmtId="0" fontId="1" fillId="0" borderId="28" xfId="2" applyFont="1" applyFill="1" applyBorder="1"/>
    <xf numFmtId="3" fontId="10" fillId="0" borderId="28" xfId="0" applyNumberFormat="1" applyFont="1" applyBorder="1" applyAlignment="1">
      <alignment horizontal="left" wrapText="1"/>
    </xf>
    <xf numFmtId="0" fontId="1" fillId="0" borderId="0" xfId="2" applyFont="1" applyFill="1" applyBorder="1"/>
    <xf numFmtId="0" fontId="0" fillId="0" borderId="29" xfId="0" applyBorder="1"/>
    <xf numFmtId="0" fontId="0" fillId="0" borderId="30" xfId="0" applyBorder="1" applyAlignment="1">
      <alignment wrapText="1"/>
    </xf>
    <xf numFmtId="0" fontId="12" fillId="8" borderId="14" xfId="0" applyFont="1" applyFill="1" applyBorder="1" applyAlignment="1">
      <alignment horizontal="left"/>
    </xf>
    <xf numFmtId="0" fontId="9" fillId="0" borderId="0" xfId="0" applyFont="1" applyAlignment="1">
      <alignment wrapText="1"/>
    </xf>
    <xf numFmtId="0" fontId="13" fillId="3" borderId="11" xfId="0" applyFont="1" applyFill="1" applyBorder="1" applyAlignment="1">
      <alignment horizontal="left" wrapText="1"/>
    </xf>
    <xf numFmtId="0" fontId="22" fillId="0" borderId="1" xfId="0" applyFont="1" applyBorder="1" applyAlignment="1">
      <alignment wrapText="1"/>
    </xf>
    <xf numFmtId="0" fontId="22" fillId="0" borderId="0" xfId="0" applyFont="1" applyAlignment="1">
      <alignment wrapText="1"/>
    </xf>
    <xf numFmtId="1" fontId="0" fillId="4" borderId="9" xfId="0" applyNumberFormat="1" applyFill="1" applyBorder="1" applyAlignment="1">
      <alignment horizontal="right" wrapText="1"/>
    </xf>
    <xf numFmtId="0" fontId="0" fillId="0" borderId="8" xfId="0" applyBorder="1" applyAlignment="1">
      <alignment horizontal="left" wrapText="1"/>
    </xf>
    <xf numFmtId="3" fontId="8" fillId="4" borderId="9" xfId="0" applyNumberFormat="1" applyFont="1" applyFill="1" applyBorder="1" applyAlignment="1">
      <alignment horizontal="right" wrapText="1"/>
    </xf>
    <xf numFmtId="164" fontId="0" fillId="4" borderId="11" xfId="0" applyNumberFormat="1" applyFill="1" applyBorder="1" applyAlignment="1">
      <alignment wrapText="1"/>
    </xf>
    <xf numFmtId="1" fontId="0" fillId="4" borderId="11" xfId="0" applyNumberFormat="1" applyFill="1" applyBorder="1" applyAlignment="1">
      <alignment wrapText="1"/>
    </xf>
    <xf numFmtId="3" fontId="13" fillId="3" borderId="13" xfId="0" applyNumberFormat="1" applyFont="1" applyFill="1" applyBorder="1" applyAlignment="1">
      <alignment horizontal="center" wrapText="1"/>
    </xf>
    <xf numFmtId="0" fontId="8" fillId="0" borderId="8" xfId="0" applyFont="1" applyBorder="1" applyAlignment="1">
      <alignment wrapText="1"/>
    </xf>
    <xf numFmtId="0" fontId="1" fillId="9" borderId="26" xfId="2" applyFont="1" applyBorder="1"/>
    <xf numFmtId="3" fontId="10" fillId="3" borderId="25" xfId="0" applyNumberFormat="1" applyFont="1" applyFill="1" applyBorder="1" applyAlignment="1">
      <alignment horizontal="left" wrapText="1"/>
    </xf>
    <xf numFmtId="0" fontId="1" fillId="9" borderId="31" xfId="2" applyFont="1" applyBorder="1" applyAlignment="1">
      <alignment horizontal="center" vertical="center"/>
    </xf>
    <xf numFmtId="0" fontId="1" fillId="0" borderId="11" xfId="0" applyFont="1" applyBorder="1" applyAlignment="1">
      <alignment horizontal="center" wrapText="1"/>
    </xf>
    <xf numFmtId="49" fontId="1" fillId="3" borderId="16" xfId="0" applyNumberFormat="1" applyFont="1" applyFill="1" applyBorder="1"/>
    <xf numFmtId="0" fontId="1" fillId="4" borderId="2" xfId="0" applyFont="1" applyFill="1" applyBorder="1"/>
    <xf numFmtId="0" fontId="1" fillId="4" borderId="3" xfId="0" applyFont="1" applyFill="1" applyBorder="1"/>
    <xf numFmtId="0" fontId="1" fillId="6" borderId="2" xfId="0" applyFont="1" applyFill="1" applyBorder="1"/>
    <xf numFmtId="0" fontId="1" fillId="6" borderId="3" xfId="0" applyFont="1" applyFill="1" applyBorder="1"/>
    <xf numFmtId="0" fontId="1" fillId="2" borderId="2" xfId="0" applyFont="1" applyFill="1" applyBorder="1"/>
    <xf numFmtId="0" fontId="1" fillId="2" borderId="3" xfId="0" applyFont="1" applyFill="1" applyBorder="1"/>
    <xf numFmtId="3" fontId="13" fillId="3" borderId="13" xfId="0" applyNumberFormat="1" applyFont="1" applyFill="1" applyBorder="1" applyAlignment="1">
      <alignment horizontal="left" wrapText="1"/>
    </xf>
    <xf numFmtId="0" fontId="12" fillId="0" borderId="19" xfId="0" applyFont="1" applyBorder="1" applyAlignment="1">
      <alignment wrapText="1"/>
    </xf>
    <xf numFmtId="0" fontId="0" fillId="0" borderId="20" xfId="0" applyBorder="1" applyAlignment="1">
      <alignment wrapText="1"/>
    </xf>
    <xf numFmtId="0" fontId="1" fillId="9" borderId="25" xfId="2" applyFont="1" applyBorder="1"/>
    <xf numFmtId="0" fontId="23" fillId="0" borderId="1" xfId="0" quotePrefix="1" applyFont="1" applyBorder="1"/>
    <xf numFmtId="0" fontId="0" fillId="0" borderId="36" xfId="0" applyBorder="1" applyAlignment="1">
      <alignment wrapText="1"/>
    </xf>
    <xf numFmtId="3" fontId="10" fillId="0" borderId="35" xfId="0" applyNumberFormat="1" applyFont="1" applyBorder="1" applyAlignment="1">
      <alignment horizontal="left" wrapText="1"/>
    </xf>
    <xf numFmtId="0" fontId="1" fillId="0" borderId="1" xfId="0" applyFont="1" applyBorder="1"/>
    <xf numFmtId="0" fontId="17" fillId="0" borderId="26" xfId="0" applyFont="1" applyBorder="1" applyAlignment="1">
      <alignment wrapText="1"/>
    </xf>
    <xf numFmtId="0" fontId="17" fillId="0" borderId="36" xfId="0" applyFont="1" applyBorder="1" applyAlignment="1">
      <alignment wrapText="1"/>
    </xf>
    <xf numFmtId="0" fontId="17" fillId="0" borderId="0" xfId="0" applyFont="1"/>
    <xf numFmtId="0" fontId="8" fillId="0" borderId="1" xfId="0" applyFont="1" applyBorder="1" applyAlignment="1">
      <alignment wrapText="1"/>
    </xf>
    <xf numFmtId="0" fontId="8" fillId="0" borderId="7" xfId="0" applyFont="1" applyBorder="1" applyAlignment="1">
      <alignment horizontal="center" wrapText="1"/>
    </xf>
    <xf numFmtId="0" fontId="8" fillId="0" borderId="10" xfId="0" applyFont="1" applyBorder="1" applyAlignment="1">
      <alignment horizontal="center" wrapText="1"/>
    </xf>
    <xf numFmtId="0" fontId="8" fillId="0" borderId="12" xfId="0" applyFont="1" applyBorder="1" applyAlignment="1">
      <alignment horizontal="center" wrapText="1"/>
    </xf>
    <xf numFmtId="0" fontId="24" fillId="0" borderId="0" xfId="0" applyFont="1"/>
    <xf numFmtId="0" fontId="9" fillId="0" borderId="25" xfId="2" applyFont="1" applyFill="1" applyBorder="1"/>
    <xf numFmtId="0" fontId="17" fillId="0" borderId="26" xfId="0" quotePrefix="1" applyFont="1" applyBorder="1" applyAlignment="1">
      <alignment wrapText="1"/>
    </xf>
    <xf numFmtId="3" fontId="17" fillId="0" borderId="25" xfId="0" applyNumberFormat="1" applyFont="1" applyBorder="1" applyAlignment="1">
      <alignment horizontal="left" wrapText="1"/>
    </xf>
    <xf numFmtId="0" fontId="9" fillId="0" borderId="0" xfId="0" applyFont="1"/>
    <xf numFmtId="0" fontId="17" fillId="0" borderId="36" xfId="0" quotePrefix="1" applyFont="1" applyBorder="1" applyAlignment="1">
      <alignment wrapText="1"/>
    </xf>
    <xf numFmtId="0" fontId="1" fillId="0" borderId="28" xfId="0" applyFont="1" applyBorder="1"/>
    <xf numFmtId="0" fontId="23" fillId="9" borderId="26" xfId="2" applyFont="1" applyBorder="1"/>
    <xf numFmtId="0" fontId="23" fillId="0" borderId="0" xfId="0" applyFont="1" applyAlignment="1">
      <alignment horizontal="center" wrapText="1"/>
    </xf>
    <xf numFmtId="0" fontId="25" fillId="0" borderId="11" xfId="0" applyFont="1" applyBorder="1" applyAlignment="1">
      <alignment horizontal="left" wrapText="1"/>
    </xf>
    <xf numFmtId="0" fontId="23" fillId="0" borderId="0" xfId="0" applyFont="1" applyAlignment="1">
      <alignment wrapText="1"/>
    </xf>
    <xf numFmtId="0" fontId="23" fillId="9" borderId="35" xfId="2" applyFont="1" applyBorder="1"/>
    <xf numFmtId="0" fontId="23" fillId="0" borderId="0" xfId="0" quotePrefix="1" applyFont="1"/>
    <xf numFmtId="0" fontId="23" fillId="0" borderId="33" xfId="0" applyFont="1" applyBorder="1"/>
    <xf numFmtId="0" fontId="23" fillId="0" borderId="0" xfId="0" applyFont="1"/>
    <xf numFmtId="0" fontId="23" fillId="0" borderId="1" xfId="0" applyFont="1" applyBorder="1"/>
    <xf numFmtId="3" fontId="8" fillId="0" borderId="25" xfId="0" applyNumberFormat="1" applyFont="1" applyBorder="1" applyAlignment="1">
      <alignment horizontal="left" wrapText="1"/>
    </xf>
    <xf numFmtId="0" fontId="23" fillId="9" borderId="27" xfId="2" applyFont="1" applyBorder="1"/>
    <xf numFmtId="0" fontId="9" fillId="0" borderId="26" xfId="0" applyFont="1" applyBorder="1"/>
    <xf numFmtId="0" fontId="1" fillId="0" borderId="38" xfId="0" applyFont="1" applyBorder="1" applyAlignment="1">
      <alignment horizontal="center" wrapText="1"/>
    </xf>
    <xf numFmtId="0" fontId="23" fillId="0" borderId="8" xfId="0" quotePrefix="1" applyFont="1" applyBorder="1"/>
    <xf numFmtId="0" fontId="9" fillId="0" borderId="26" xfId="0" applyFont="1" applyBorder="1" applyAlignment="1">
      <alignment wrapText="1"/>
    </xf>
    <xf numFmtId="0" fontId="23" fillId="9" borderId="28" xfId="2" applyFont="1" applyBorder="1"/>
    <xf numFmtId="0" fontId="8" fillId="0" borderId="18" xfId="0" applyFont="1" applyBorder="1" applyAlignment="1">
      <alignment horizontal="right" wrapText="1"/>
    </xf>
    <xf numFmtId="164" fontId="8" fillId="4" borderId="11" xfId="0" applyNumberFormat="1" applyFont="1" applyFill="1" applyBorder="1" applyAlignment="1">
      <alignment horizontal="right" wrapText="1"/>
    </xf>
    <xf numFmtId="0" fontId="23" fillId="0" borderId="5" xfId="0" applyFont="1" applyBorder="1" applyAlignment="1">
      <alignment wrapText="1"/>
    </xf>
    <xf numFmtId="1" fontId="8" fillId="4" borderId="11" xfId="0" applyNumberFormat="1" applyFont="1" applyFill="1" applyBorder="1" applyAlignment="1">
      <alignment horizontal="right" wrapText="1"/>
    </xf>
    <xf numFmtId="0" fontId="8" fillId="0" borderId="1" xfId="0" applyFont="1" applyBorder="1" applyAlignment="1">
      <alignment horizontal="left" wrapText="1"/>
    </xf>
    <xf numFmtId="0" fontId="17" fillId="0" borderId="10" xfId="0" applyFont="1" applyBorder="1" applyAlignment="1">
      <alignment horizontal="left" wrapText="1"/>
    </xf>
    <xf numFmtId="0" fontId="26" fillId="0" borderId="0" xfId="0" applyFont="1" applyAlignment="1">
      <alignment wrapText="1"/>
    </xf>
    <xf numFmtId="0" fontId="9" fillId="0" borderId="39" xfId="0" applyFont="1" applyBorder="1" applyAlignment="1">
      <alignment wrapText="1"/>
    </xf>
    <xf numFmtId="4" fontId="10" fillId="3" borderId="11" xfId="0" applyNumberFormat="1" applyFont="1" applyFill="1" applyBorder="1" applyAlignment="1">
      <alignment horizontal="left" wrapText="1"/>
    </xf>
    <xf numFmtId="0" fontId="14" fillId="0" borderId="11" xfId="0" applyFont="1" applyBorder="1" applyAlignment="1">
      <alignment horizontal="center" wrapText="1"/>
    </xf>
    <xf numFmtId="0" fontId="28" fillId="0" borderId="11" xfId="0" applyFont="1" applyBorder="1" applyAlignment="1">
      <alignment horizontal="left" wrapText="1"/>
    </xf>
    <xf numFmtId="0" fontId="13" fillId="0" borderId="11" xfId="0" applyFont="1" applyBorder="1" applyAlignment="1">
      <alignment wrapText="1"/>
    </xf>
    <xf numFmtId="0" fontId="14" fillId="0" borderId="11" xfId="0" applyFont="1" applyBorder="1" applyAlignment="1">
      <alignment wrapText="1"/>
    </xf>
    <xf numFmtId="0" fontId="14" fillId="0" borderId="9" xfId="0" applyFont="1" applyBorder="1" applyAlignment="1">
      <alignment wrapText="1"/>
    </xf>
    <xf numFmtId="0" fontId="13" fillId="0" borderId="13" xfId="0" applyFont="1" applyBorder="1" applyAlignment="1">
      <alignment wrapText="1"/>
    </xf>
    <xf numFmtId="0" fontId="28" fillId="0" borderId="11" xfId="0" applyFont="1" applyBorder="1"/>
    <xf numFmtId="0" fontId="28" fillId="0" borderId="13" xfId="0" applyFont="1" applyBorder="1"/>
    <xf numFmtId="0" fontId="13" fillId="0" borderId="13" xfId="0" applyFont="1" applyBorder="1"/>
    <xf numFmtId="0" fontId="13" fillId="0" borderId="11" xfId="0" applyFont="1" applyBorder="1"/>
    <xf numFmtId="0" fontId="14" fillId="0" borderId="28" xfId="0" applyFont="1" applyBorder="1"/>
    <xf numFmtId="0" fontId="1" fillId="9" borderId="28" xfId="2" applyFont="1" applyBorder="1"/>
    <xf numFmtId="3" fontId="10" fillId="3" borderId="28" xfId="0" applyNumberFormat="1" applyFont="1" applyFill="1" applyBorder="1" applyAlignment="1">
      <alignment horizontal="left" wrapText="1"/>
    </xf>
    <xf numFmtId="0" fontId="23" fillId="0" borderId="36" xfId="0" applyFont="1" applyBorder="1" applyAlignment="1">
      <alignment wrapText="1"/>
    </xf>
    <xf numFmtId="0" fontId="25" fillId="0" borderId="13" xfId="0" applyFont="1" applyBorder="1" applyAlignment="1">
      <alignment horizontal="left" wrapText="1"/>
    </xf>
    <xf numFmtId="0" fontId="23" fillId="0" borderId="36" xfId="0" applyFont="1" applyBorder="1"/>
    <xf numFmtId="3" fontId="27" fillId="0" borderId="0" xfId="0" applyNumberFormat="1" applyFont="1" applyAlignment="1">
      <alignment wrapText="1"/>
    </xf>
    <xf numFmtId="164" fontId="17" fillId="0" borderId="0" xfId="0" applyNumberFormat="1" applyFont="1" applyAlignment="1">
      <alignment wrapText="1"/>
    </xf>
    <xf numFmtId="3" fontId="17" fillId="0" borderId="0" xfId="0" applyNumberFormat="1" applyFont="1" applyAlignment="1">
      <alignment wrapText="1"/>
    </xf>
    <xf numFmtId="3" fontId="9" fillId="0" borderId="0" xfId="0" applyNumberFormat="1" applyFont="1" applyAlignment="1">
      <alignment wrapText="1"/>
    </xf>
    <xf numFmtId="3" fontId="13" fillId="0" borderId="0" xfId="0" applyNumberFormat="1" applyFont="1" applyAlignment="1">
      <alignment horizontal="left" wrapText="1"/>
    </xf>
    <xf numFmtId="0" fontId="9" fillId="5" borderId="0" xfId="0" applyFont="1" applyFill="1" applyAlignment="1">
      <alignment wrapText="1"/>
    </xf>
    <xf numFmtId="0" fontId="1" fillId="0" borderId="8" xfId="0" applyFont="1" applyBorder="1" applyAlignment="1">
      <alignment horizontal="center" wrapText="1"/>
    </xf>
    <xf numFmtId="0" fontId="1" fillId="0" borderId="41" xfId="0" applyFont="1" applyBorder="1" applyAlignment="1">
      <alignment horizontal="center" wrapText="1"/>
    </xf>
    <xf numFmtId="0" fontId="13" fillId="3" borderId="0" xfId="0" quotePrefix="1" applyFont="1" applyFill="1" applyAlignment="1">
      <alignment horizontal="left"/>
    </xf>
    <xf numFmtId="0" fontId="1" fillId="0" borderId="0" xfId="0" quotePrefix="1" applyFont="1" applyAlignment="1">
      <alignment horizontal="left"/>
    </xf>
    <xf numFmtId="0" fontId="1" fillId="0" borderId="28" xfId="0" applyFont="1" applyBorder="1" applyAlignment="1">
      <alignment horizontal="left"/>
    </xf>
    <xf numFmtId="3" fontId="14" fillId="3" borderId="28" xfId="0" applyNumberFormat="1" applyFont="1" applyFill="1" applyBorder="1" applyAlignment="1">
      <alignment horizontal="left" wrapText="1"/>
    </xf>
    <xf numFmtId="0" fontId="23" fillId="0" borderId="8" xfId="0" quotePrefix="1" applyFont="1" applyBorder="1" applyAlignment="1">
      <alignment horizontal="left"/>
    </xf>
    <xf numFmtId="3" fontId="13" fillId="3" borderId="36" xfId="0" applyNumberFormat="1" applyFont="1" applyFill="1" applyBorder="1" applyAlignment="1">
      <alignment horizontal="left" wrapText="1"/>
    </xf>
    <xf numFmtId="0" fontId="23" fillId="0" borderId="0" xfId="0" quotePrefix="1" applyFont="1" applyAlignment="1">
      <alignment horizontal="left"/>
    </xf>
    <xf numFmtId="3" fontId="10" fillId="3" borderId="32" xfId="0" applyNumberFormat="1" applyFont="1" applyFill="1" applyBorder="1" applyAlignment="1">
      <alignment horizontal="left" wrapText="1"/>
    </xf>
    <xf numFmtId="0" fontId="23" fillId="0" borderId="0" xfId="0" applyFont="1" applyAlignment="1">
      <alignment horizontal="left"/>
    </xf>
    <xf numFmtId="3" fontId="13" fillId="3" borderId="25" xfId="0" applyNumberFormat="1" applyFont="1" applyFill="1" applyBorder="1" applyAlignment="1">
      <alignment horizontal="left" wrapText="1"/>
    </xf>
    <xf numFmtId="0" fontId="23" fillId="0" borderId="1" xfId="0" quotePrefix="1" applyFont="1" applyBorder="1" applyAlignment="1">
      <alignment horizontal="left"/>
    </xf>
    <xf numFmtId="3" fontId="13" fillId="3" borderId="35" xfId="0" applyNumberFormat="1" applyFont="1" applyFill="1" applyBorder="1" applyAlignment="1">
      <alignment horizontal="left" wrapText="1"/>
    </xf>
    <xf numFmtId="0" fontId="23" fillId="0" borderId="1" xfId="0" applyFont="1" applyBorder="1" applyAlignment="1">
      <alignment wrapText="1"/>
    </xf>
    <xf numFmtId="0" fontId="23" fillId="0" borderId="3" xfId="0" applyFont="1" applyBorder="1" applyAlignment="1">
      <alignment horizontal="center" wrapText="1"/>
    </xf>
    <xf numFmtId="0" fontId="23" fillId="0" borderId="34" xfId="0" applyFont="1" applyBorder="1" applyAlignment="1">
      <alignment wrapText="1"/>
    </xf>
    <xf numFmtId="0" fontId="23" fillId="0" borderId="2" xfId="0" applyFont="1" applyBorder="1" applyAlignment="1">
      <alignment wrapText="1"/>
    </xf>
    <xf numFmtId="0" fontId="23" fillId="0" borderId="22" xfId="0" applyFont="1" applyBorder="1" applyAlignment="1">
      <alignment wrapText="1"/>
    </xf>
    <xf numFmtId="0" fontId="23" fillId="0" borderId="4" xfId="0" applyFont="1" applyBorder="1" applyAlignment="1">
      <alignment wrapText="1"/>
    </xf>
    <xf numFmtId="0" fontId="0" fillId="0" borderId="42" xfId="0" applyBorder="1" applyAlignment="1">
      <alignment wrapText="1"/>
    </xf>
    <xf numFmtId="0" fontId="23" fillId="0" borderId="13" xfId="0" applyFont="1" applyBorder="1" applyAlignment="1">
      <alignment wrapText="1"/>
    </xf>
    <xf numFmtId="0" fontId="23" fillId="0" borderId="11" xfId="0" applyFont="1" applyBorder="1" applyAlignment="1">
      <alignment wrapText="1"/>
    </xf>
    <xf numFmtId="0" fontId="23" fillId="0" borderId="15" xfId="0" applyFont="1" applyBorder="1" applyAlignment="1">
      <alignment wrapText="1"/>
    </xf>
    <xf numFmtId="0" fontId="23" fillId="0" borderId="9" xfId="0" applyFont="1" applyBorder="1" applyAlignment="1">
      <alignment horizontal="center" wrapText="1"/>
    </xf>
    <xf numFmtId="2" fontId="23" fillId="6" borderId="15" xfId="1" applyNumberFormat="1" applyFont="1" applyFill="1" applyBorder="1" applyAlignment="1">
      <alignment wrapText="1"/>
    </xf>
    <xf numFmtId="0" fontId="23" fillId="0" borderId="46" xfId="0" applyFont="1" applyBorder="1" applyAlignment="1">
      <alignment wrapText="1"/>
    </xf>
    <xf numFmtId="0" fontId="23" fillId="0" borderId="43" xfId="0" applyFont="1" applyBorder="1" applyAlignment="1">
      <alignment wrapText="1"/>
    </xf>
    <xf numFmtId="0" fontId="23" fillId="0" borderId="11" xfId="0" applyFont="1" applyBorder="1" applyAlignment="1">
      <alignment horizontal="center" wrapText="1"/>
    </xf>
    <xf numFmtId="2" fontId="23" fillId="6" borderId="43" xfId="0" applyNumberFormat="1" applyFont="1" applyFill="1" applyBorder="1" applyAlignment="1">
      <alignment wrapText="1"/>
    </xf>
    <xf numFmtId="0" fontId="12" fillId="0" borderId="19" xfId="0" applyFont="1" applyBorder="1"/>
    <xf numFmtId="0" fontId="8" fillId="0" borderId="8" xfId="0" applyFont="1" applyBorder="1" applyAlignment="1">
      <alignment horizontal="right" wrapText="1"/>
    </xf>
    <xf numFmtId="164" fontId="23" fillId="6" borderId="6" xfId="0" applyNumberFormat="1" applyFont="1" applyFill="1" applyBorder="1" applyAlignment="1">
      <alignment wrapText="1"/>
    </xf>
    <xf numFmtId="164" fontId="23" fillId="6" borderId="43" xfId="0" applyNumberFormat="1" applyFont="1" applyFill="1" applyBorder="1" applyAlignment="1">
      <alignment wrapText="1"/>
    </xf>
    <xf numFmtId="0" fontId="23" fillId="0" borderId="45" xfId="0" applyFont="1" applyBorder="1" applyAlignment="1">
      <alignment wrapText="1"/>
    </xf>
    <xf numFmtId="0" fontId="29" fillId="0" borderId="0" xfId="0" applyFont="1" applyAlignment="1">
      <alignment horizontal="right" wrapText="1"/>
    </xf>
    <xf numFmtId="14" fontId="30" fillId="0" borderId="0" xfId="0" applyNumberFormat="1" applyFont="1"/>
    <xf numFmtId="49" fontId="1" fillId="3" borderId="50" xfId="0" applyNumberFormat="1" applyFont="1" applyFill="1" applyBorder="1"/>
    <xf numFmtId="0" fontId="12" fillId="0" borderId="7" xfId="0" applyFont="1" applyBorder="1" applyAlignment="1">
      <alignment horizontal="right" wrapText="1"/>
    </xf>
    <xf numFmtId="14" fontId="31" fillId="3" borderId="9" xfId="0" applyNumberFormat="1" applyFont="1" applyFill="1" applyBorder="1" applyAlignment="1">
      <alignment horizontal="right"/>
    </xf>
    <xf numFmtId="0" fontId="12" fillId="0" borderId="12" xfId="0" applyFont="1" applyBorder="1" applyAlignment="1">
      <alignment horizontal="right" wrapText="1"/>
    </xf>
    <xf numFmtId="0" fontId="31" fillId="3" borderId="13" xfId="0" applyFont="1" applyFill="1" applyBorder="1" applyAlignment="1">
      <alignment horizontal="right"/>
    </xf>
    <xf numFmtId="0" fontId="8" fillId="0" borderId="10" xfId="0" applyFont="1" applyBorder="1" applyAlignment="1">
      <alignment wrapText="1"/>
    </xf>
    <xf numFmtId="0" fontId="23" fillId="0" borderId="10" xfId="0" applyFont="1" applyBorder="1" applyAlignment="1">
      <alignment wrapText="1"/>
    </xf>
    <xf numFmtId="3" fontId="10" fillId="3" borderId="0" xfId="0" applyNumberFormat="1" applyFont="1" applyFill="1" applyAlignment="1">
      <alignment horizontal="left" wrapText="1"/>
    </xf>
    <xf numFmtId="0" fontId="23" fillId="0" borderId="0" xfId="0" applyFont="1" applyAlignment="1">
      <alignment horizontal="left" wrapText="1"/>
    </xf>
    <xf numFmtId="3" fontId="9" fillId="0" borderId="0" xfId="0" applyNumberFormat="1" applyFont="1" applyAlignment="1">
      <alignment horizontal="left" wrapText="1"/>
    </xf>
    <xf numFmtId="0" fontId="9" fillId="0" borderId="36" xfId="0" applyFont="1" applyBorder="1"/>
    <xf numFmtId="0" fontId="1" fillId="7" borderId="4" xfId="0" applyFont="1" applyFill="1" applyBorder="1"/>
    <xf numFmtId="0" fontId="1" fillId="7" borderId="6" xfId="0" applyFont="1" applyFill="1" applyBorder="1"/>
    <xf numFmtId="0" fontId="23" fillId="9" borderId="25" xfId="2" applyFont="1" applyBorder="1"/>
    <xf numFmtId="0" fontId="8" fillId="0" borderId="12" xfId="0" applyFont="1" applyBorder="1" applyAlignment="1">
      <alignment wrapText="1"/>
    </xf>
    <xf numFmtId="0" fontId="23" fillId="9" borderId="35" xfId="2" applyFont="1" applyBorder="1" applyAlignment="1">
      <alignment wrapText="1"/>
    </xf>
    <xf numFmtId="0" fontId="25" fillId="0" borderId="11" xfId="0" applyFont="1" applyBorder="1"/>
    <xf numFmtId="0" fontId="8" fillId="0" borderId="0" xfId="0" applyFont="1" applyAlignment="1">
      <alignment horizontal="center" wrapText="1"/>
    </xf>
    <xf numFmtId="0" fontId="8" fillId="0" borderId="17" xfId="0" applyFont="1" applyBorder="1" applyAlignment="1">
      <alignment horizontal="center" wrapText="1"/>
    </xf>
    <xf numFmtId="3" fontId="8" fillId="4" borderId="13" xfId="0" applyNumberFormat="1" applyFont="1" applyFill="1" applyBorder="1" applyAlignment="1">
      <alignment wrapText="1"/>
    </xf>
    <xf numFmtId="0" fontId="8" fillId="0" borderId="40" xfId="0" applyFont="1" applyBorder="1" applyAlignment="1">
      <alignment wrapText="1"/>
    </xf>
    <xf numFmtId="0" fontId="8" fillId="0" borderId="2" xfId="0" applyFont="1" applyBorder="1" applyAlignment="1">
      <alignment wrapText="1"/>
    </xf>
    <xf numFmtId="0" fontId="8" fillId="0" borderId="9" xfId="0" applyFont="1" applyBorder="1" applyAlignment="1">
      <alignment wrapText="1"/>
    </xf>
    <xf numFmtId="0" fontId="32" fillId="0" borderId="34" xfId="0" applyFont="1" applyBorder="1" applyAlignment="1">
      <alignment wrapText="1"/>
    </xf>
    <xf numFmtId="0" fontId="23" fillId="0" borderId="1" xfId="0" applyFont="1" applyBorder="1" applyAlignment="1">
      <alignment horizontal="center" wrapText="1"/>
    </xf>
    <xf numFmtId="0" fontId="23" fillId="0" borderId="13" xfId="0" applyFont="1" applyBorder="1" applyAlignment="1">
      <alignment horizontal="center" wrapText="1"/>
    </xf>
    <xf numFmtId="0" fontId="23" fillId="0" borderId="40" xfId="0" applyFont="1" applyBorder="1" applyAlignment="1">
      <alignment horizontal="center" wrapText="1"/>
    </xf>
    <xf numFmtId="2" fontId="23" fillId="6" borderId="13" xfId="0" applyNumberFormat="1" applyFont="1" applyFill="1" applyBorder="1" applyAlignment="1">
      <alignment wrapText="1"/>
    </xf>
    <xf numFmtId="2" fontId="23" fillId="6" borderId="40" xfId="0" applyNumberFormat="1" applyFont="1" applyFill="1" applyBorder="1" applyAlignment="1">
      <alignment wrapText="1"/>
    </xf>
    <xf numFmtId="2" fontId="23" fillId="6" borderId="11" xfId="0" applyNumberFormat="1" applyFont="1" applyFill="1" applyBorder="1" applyAlignment="1">
      <alignment horizontal="right" wrapText="1"/>
    </xf>
    <xf numFmtId="2" fontId="23" fillId="6" borderId="3" xfId="0" applyNumberFormat="1" applyFont="1" applyFill="1" applyBorder="1" applyAlignment="1">
      <alignment horizontal="right" wrapText="1"/>
    </xf>
    <xf numFmtId="2" fontId="23" fillId="6" borderId="13" xfId="0" applyNumberFormat="1" applyFont="1" applyFill="1" applyBorder="1" applyAlignment="1">
      <alignment horizontal="right" wrapText="1"/>
    </xf>
    <xf numFmtId="2" fontId="23" fillId="6" borderId="40" xfId="0" applyNumberFormat="1" applyFont="1" applyFill="1" applyBorder="1" applyAlignment="1">
      <alignment horizontal="right" wrapText="1"/>
    </xf>
    <xf numFmtId="0" fontId="23" fillId="0" borderId="34" xfId="0" applyFont="1" applyBorder="1" applyAlignment="1">
      <alignment horizontal="left" wrapText="1"/>
    </xf>
    <xf numFmtId="2" fontId="23" fillId="6" borderId="13" xfId="1" applyNumberFormat="1" applyFont="1" applyFill="1" applyBorder="1" applyAlignment="1">
      <alignment horizontal="right" wrapText="1"/>
    </xf>
    <xf numFmtId="2" fontId="23" fillId="6" borderId="40" xfId="1" applyNumberFormat="1" applyFont="1" applyFill="1" applyBorder="1" applyAlignment="1">
      <alignment horizontal="right" wrapText="1"/>
    </xf>
    <xf numFmtId="0" fontId="23" fillId="0" borderId="18" xfId="0" applyFont="1" applyBorder="1" applyAlignment="1">
      <alignment horizontal="center" wrapText="1"/>
    </xf>
    <xf numFmtId="2" fontId="23" fillId="6" borderId="23" xfId="1" applyNumberFormat="1" applyFont="1" applyFill="1" applyBorder="1" applyAlignment="1">
      <alignment wrapText="1"/>
    </xf>
    <xf numFmtId="2" fontId="23" fillId="6" borderId="11" xfId="1" applyNumberFormat="1" applyFont="1" applyFill="1" applyBorder="1" applyAlignment="1">
      <alignment wrapText="1"/>
    </xf>
    <xf numFmtId="2" fontId="23" fillId="6" borderId="3" xfId="1" applyNumberFormat="1" applyFont="1" applyFill="1" applyBorder="1" applyAlignment="1">
      <alignment wrapText="1"/>
    </xf>
    <xf numFmtId="0" fontId="8" fillId="0" borderId="43" xfId="0" quotePrefix="1" applyFont="1" applyBorder="1" applyAlignment="1">
      <alignment wrapText="1"/>
    </xf>
    <xf numFmtId="0" fontId="23" fillId="0" borderId="5" xfId="0" applyFont="1" applyBorder="1" applyAlignment="1">
      <alignment horizontal="center" wrapText="1"/>
    </xf>
    <xf numFmtId="166" fontId="23" fillId="6" borderId="43" xfId="1" applyNumberFormat="1" applyFont="1" applyFill="1" applyBorder="1" applyAlignment="1">
      <alignment wrapText="1"/>
    </xf>
    <xf numFmtId="166" fontId="23" fillId="6" borderId="6" xfId="1" applyNumberFormat="1" applyFont="1" applyFill="1" applyBorder="1" applyAlignment="1">
      <alignment wrapText="1"/>
    </xf>
    <xf numFmtId="0" fontId="33" fillId="0" borderId="0" xfId="0" applyFont="1" applyAlignment="1">
      <alignment horizontal="left"/>
    </xf>
    <xf numFmtId="0" fontId="25" fillId="0" borderId="0" xfId="0" applyFont="1" applyAlignment="1">
      <alignment wrapText="1"/>
    </xf>
    <xf numFmtId="0" fontId="23" fillId="0" borderId="17" xfId="0" applyFont="1" applyBorder="1" applyAlignment="1">
      <alignment horizontal="center" wrapText="1"/>
    </xf>
    <xf numFmtId="0" fontId="23" fillId="0" borderId="18" xfId="0" applyFont="1" applyBorder="1" applyAlignment="1">
      <alignment wrapText="1"/>
    </xf>
    <xf numFmtId="0" fontId="8" fillId="0" borderId="0" xfId="0" applyFont="1"/>
    <xf numFmtId="0" fontId="8" fillId="0" borderId="18" xfId="0" applyFont="1" applyBorder="1" applyAlignment="1">
      <alignment wrapText="1"/>
    </xf>
    <xf numFmtId="0" fontId="8" fillId="0" borderId="7" xfId="0" applyFont="1" applyBorder="1" applyAlignment="1">
      <alignment wrapText="1"/>
    </xf>
    <xf numFmtId="0" fontId="8" fillId="0" borderId="1" xfId="0" applyFont="1" applyBorder="1" applyAlignment="1">
      <alignment horizontal="center" wrapText="1"/>
    </xf>
    <xf numFmtId="165" fontId="8" fillId="4" borderId="11" xfId="0" applyNumberFormat="1" applyFont="1" applyFill="1" applyBorder="1" applyAlignment="1">
      <alignment wrapText="1"/>
    </xf>
    <xf numFmtId="0" fontId="33" fillId="0" borderId="19" xfId="0" applyFont="1" applyBorder="1"/>
    <xf numFmtId="0" fontId="8" fillId="0" borderId="20" xfId="0" applyFont="1" applyBorder="1" applyAlignment="1">
      <alignment wrapText="1"/>
    </xf>
    <xf numFmtId="0" fontId="8" fillId="0" borderId="42" xfId="0" applyFont="1" applyBorder="1" applyAlignment="1">
      <alignment wrapText="1"/>
    </xf>
    <xf numFmtId="0" fontId="8" fillId="0" borderId="11" xfId="0" applyFont="1" applyBorder="1" applyAlignment="1">
      <alignment wrapText="1"/>
    </xf>
    <xf numFmtId="0" fontId="32" fillId="0" borderId="47" xfId="0" applyFont="1" applyBorder="1" applyAlignment="1">
      <alignment wrapText="1"/>
    </xf>
    <xf numFmtId="0" fontId="23" fillId="0" borderId="48" xfId="0" applyFont="1" applyBorder="1" applyAlignment="1">
      <alignment wrapText="1"/>
    </xf>
    <xf numFmtId="2" fontId="23" fillId="6" borderId="15" xfId="0" applyNumberFormat="1" applyFont="1" applyFill="1" applyBorder="1" applyAlignment="1">
      <alignment wrapText="1"/>
    </xf>
    <xf numFmtId="2" fontId="23" fillId="6" borderId="23" xfId="0" applyNumberFormat="1" applyFont="1" applyFill="1" applyBorder="1" applyAlignment="1">
      <alignment horizontal="right" wrapText="1"/>
    </xf>
    <xf numFmtId="2" fontId="23" fillId="6" borderId="11" xfId="0" applyNumberFormat="1" applyFont="1" applyFill="1" applyBorder="1" applyAlignment="1">
      <alignment wrapText="1"/>
    </xf>
    <xf numFmtId="0" fontId="8" fillId="0" borderId="3" xfId="0" applyFont="1" applyBorder="1" applyAlignment="1">
      <alignment wrapText="1"/>
    </xf>
    <xf numFmtId="0" fontId="23" fillId="0" borderId="47" xfId="0" applyFont="1" applyBorder="1" applyAlignment="1">
      <alignment wrapText="1"/>
    </xf>
    <xf numFmtId="2" fontId="23" fillId="6" borderId="3" xfId="0" applyNumberFormat="1" applyFont="1" applyFill="1" applyBorder="1" applyAlignment="1">
      <alignment wrapText="1"/>
    </xf>
    <xf numFmtId="0" fontId="8" fillId="0" borderId="23" xfId="0" applyFont="1" applyBorder="1" applyAlignment="1">
      <alignment wrapText="1"/>
    </xf>
    <xf numFmtId="0" fontId="23" fillId="0" borderId="47" xfId="0" applyFont="1" applyBorder="1" applyAlignment="1">
      <alignment horizontal="left" wrapText="1"/>
    </xf>
    <xf numFmtId="0" fontId="8" fillId="0" borderId="5" xfId="0" applyFont="1" applyBorder="1" applyAlignment="1">
      <alignment wrapText="1"/>
    </xf>
    <xf numFmtId="0" fontId="8" fillId="0" borderId="6" xfId="0" applyFont="1" applyBorder="1" applyAlignment="1">
      <alignment wrapText="1"/>
    </xf>
    <xf numFmtId="0" fontId="8" fillId="0" borderId="20" xfId="0" applyFont="1" applyBorder="1" applyAlignment="1">
      <alignment vertical="center"/>
    </xf>
    <xf numFmtId="0" fontId="32" fillId="0" borderId="34" xfId="0" applyFont="1" applyBorder="1"/>
    <xf numFmtId="2" fontId="23" fillId="6" borderId="6" xfId="0" applyNumberFormat="1" applyFont="1" applyFill="1" applyBorder="1" applyAlignment="1">
      <alignment wrapText="1"/>
    </xf>
    <xf numFmtId="165" fontId="13" fillId="3" borderId="11" xfId="0" applyNumberFormat="1" applyFont="1" applyFill="1" applyBorder="1" applyAlignment="1">
      <alignment horizontal="left" wrapText="1"/>
    </xf>
    <xf numFmtId="0" fontId="8" fillId="0" borderId="8" xfId="0" applyFont="1" applyBorder="1" applyAlignment="1">
      <alignment horizontal="center" wrapText="1"/>
    </xf>
    <xf numFmtId="0" fontId="23" fillId="0" borderId="7" xfId="0" applyFont="1" applyBorder="1" applyAlignment="1">
      <alignment horizontal="center" wrapText="1"/>
    </xf>
    <xf numFmtId="0" fontId="23" fillId="0" borderId="8" xfId="0" applyFont="1" applyBorder="1" applyAlignment="1">
      <alignment wrapText="1"/>
    </xf>
    <xf numFmtId="0" fontId="23" fillId="0" borderId="12" xfId="0" applyFont="1" applyBorder="1" applyAlignment="1">
      <alignment horizontal="center" wrapText="1"/>
    </xf>
    <xf numFmtId="0" fontId="8" fillId="0" borderId="18" xfId="0" applyFont="1" applyBorder="1" applyAlignment="1">
      <alignment horizontal="left" wrapText="1"/>
    </xf>
    <xf numFmtId="3" fontId="8" fillId="4" borderId="15" xfId="0" applyNumberFormat="1" applyFont="1" applyFill="1" applyBorder="1" applyAlignment="1">
      <alignment wrapText="1"/>
    </xf>
    <xf numFmtId="9" fontId="8" fillId="0" borderId="0" xfId="1" applyFont="1" applyAlignment="1">
      <alignment wrapText="1"/>
    </xf>
    <xf numFmtId="0" fontId="23" fillId="0" borderId="15" xfId="0" applyFont="1" applyBorder="1" applyAlignment="1">
      <alignment horizontal="center" wrapText="1"/>
    </xf>
    <xf numFmtId="0" fontId="8" fillId="0" borderId="10" xfId="0" applyFont="1" applyBorder="1" applyAlignment="1">
      <alignment horizontal="center" vertical="center" wrapText="1"/>
    </xf>
    <xf numFmtId="0" fontId="8" fillId="0" borderId="49" xfId="0" applyFont="1" applyBorder="1" applyAlignment="1">
      <alignment wrapText="1"/>
    </xf>
    <xf numFmtId="164" fontId="23" fillId="6" borderId="13" xfId="0" applyNumberFormat="1" applyFont="1" applyFill="1" applyBorder="1" applyAlignment="1">
      <alignment wrapText="1"/>
    </xf>
    <xf numFmtId="164" fontId="23" fillId="6" borderId="40" xfId="0" applyNumberFormat="1" applyFont="1" applyFill="1" applyBorder="1" applyAlignment="1">
      <alignment wrapText="1"/>
    </xf>
    <xf numFmtId="164" fontId="23" fillId="6" borderId="11" xfId="0" applyNumberFormat="1" applyFont="1" applyFill="1" applyBorder="1" applyAlignment="1">
      <alignment wrapText="1"/>
    </xf>
    <xf numFmtId="164" fontId="23" fillId="6" borderId="3" xfId="0" applyNumberFormat="1" applyFont="1" applyFill="1" applyBorder="1" applyAlignment="1">
      <alignment wrapText="1"/>
    </xf>
    <xf numFmtId="165" fontId="8" fillId="4" borderId="13" xfId="0" applyNumberFormat="1" applyFont="1" applyFill="1" applyBorder="1" applyAlignment="1">
      <alignment wrapText="1"/>
    </xf>
    <xf numFmtId="0" fontId="23" fillId="0" borderId="7" xfId="0" applyFont="1" applyBorder="1" applyAlignment="1">
      <alignment wrapText="1"/>
    </xf>
    <xf numFmtId="165" fontId="8" fillId="4" borderId="15" xfId="0" applyNumberFormat="1" applyFont="1" applyFill="1" applyBorder="1" applyAlignment="1">
      <alignment wrapText="1"/>
    </xf>
    <xf numFmtId="0" fontId="8" fillId="0" borderId="8" xfId="0" applyFont="1" applyBorder="1" applyAlignment="1">
      <alignment horizontal="left" wrapText="1"/>
    </xf>
    <xf numFmtId="164" fontId="8" fillId="4" borderId="9" xfId="0" applyNumberFormat="1" applyFont="1" applyFill="1" applyBorder="1" applyAlignment="1">
      <alignment horizontal="right" wrapText="1"/>
    </xf>
    <xf numFmtId="165" fontId="8" fillId="4" borderId="11" xfId="0" applyNumberFormat="1" applyFont="1" applyFill="1" applyBorder="1" applyAlignment="1">
      <alignment horizontal="right" wrapText="1"/>
    </xf>
    <xf numFmtId="165" fontId="8" fillId="4" borderId="13" xfId="0" applyNumberFormat="1" applyFont="1" applyFill="1" applyBorder="1" applyAlignment="1">
      <alignment horizontal="right" wrapText="1"/>
    </xf>
    <xf numFmtId="4" fontId="8" fillId="4" borderId="13" xfId="0" applyNumberFormat="1" applyFont="1" applyFill="1" applyBorder="1" applyAlignment="1">
      <alignment horizontal="right" wrapText="1"/>
    </xf>
    <xf numFmtId="0" fontId="1" fillId="5" borderId="0" xfId="0" applyFont="1" applyFill="1"/>
    <xf numFmtId="0" fontId="5" fillId="5" borderId="0" xfId="0" applyFont="1" applyFill="1" applyAlignment="1">
      <alignment wrapText="1"/>
    </xf>
    <xf numFmtId="0" fontId="12" fillId="0" borderId="17" xfId="0" applyFont="1" applyBorder="1" applyAlignment="1">
      <alignment horizontal="right" wrapText="1"/>
    </xf>
    <xf numFmtId="14" fontId="33" fillId="0" borderId="15" xfId="0" applyNumberFormat="1" applyFont="1" applyBorder="1"/>
    <xf numFmtId="0" fontId="23" fillId="0" borderId="34" xfId="0" applyFont="1" applyBorder="1"/>
    <xf numFmtId="0" fontId="23" fillId="0" borderId="2" xfId="0" applyFont="1" applyBorder="1"/>
    <xf numFmtId="0" fontId="0" fillId="3" borderId="7" xfId="0" applyFill="1" applyBorder="1" applyAlignment="1">
      <alignment horizontal="left" wrapText="1"/>
    </xf>
    <xf numFmtId="0" fontId="0" fillId="3" borderId="8" xfId="0" applyFill="1" applyBorder="1" applyAlignment="1">
      <alignment horizontal="left"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0" xfId="0" applyFill="1" applyAlignment="1">
      <alignment horizontal="left" wrapText="1"/>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 xfId="0" applyFill="1" applyBorder="1" applyAlignment="1">
      <alignment horizontal="left" wrapText="1"/>
    </xf>
    <xf numFmtId="0" fontId="0" fillId="3" borderId="13" xfId="0" applyFill="1" applyBorder="1" applyAlignment="1">
      <alignment horizontal="left" wrapText="1"/>
    </xf>
    <xf numFmtId="0" fontId="21" fillId="0" borderId="17" xfId="0" applyFont="1" applyBorder="1" applyAlignment="1">
      <alignment wrapText="1"/>
    </xf>
    <xf numFmtId="0" fontId="0" fillId="0" borderId="18" xfId="0" applyBorder="1" applyAlignment="1">
      <alignment wrapText="1"/>
    </xf>
    <xf numFmtId="0" fontId="0" fillId="0" borderId="15" xfId="0" applyBorder="1" applyAlignment="1">
      <alignment wrapText="1"/>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5" xfId="0" applyFont="1" applyBorder="1" applyAlignment="1">
      <alignment horizontal="left"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wrapText="1"/>
    </xf>
    <xf numFmtId="0" fontId="0" fillId="0" borderId="0" xfId="0" applyAlignment="1">
      <alignment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3" xfId="0" applyFont="1" applyFill="1" applyBorder="1" applyAlignment="1">
      <alignment horizontal="center" vertical="top" wrapText="1"/>
    </xf>
    <xf numFmtId="0" fontId="32" fillId="0" borderId="37" xfId="0" applyFont="1" applyBorder="1" applyAlignment="1">
      <alignment horizontal="left" wrapText="1"/>
    </xf>
    <xf numFmtId="0" fontId="32" fillId="0" borderId="8" xfId="0" applyFont="1" applyBorder="1" applyAlignment="1">
      <alignment horizontal="left" wrapText="1"/>
    </xf>
    <xf numFmtId="0" fontId="32" fillId="0" borderId="44" xfId="0" applyFont="1" applyBorder="1" applyAlignment="1">
      <alignment horizontal="left" wrapText="1"/>
    </xf>
    <xf numFmtId="0" fontId="32" fillId="0" borderId="34" xfId="0" applyFont="1" applyBorder="1" applyAlignment="1">
      <alignment wrapText="1"/>
    </xf>
    <xf numFmtId="0" fontId="8" fillId="0" borderId="1" xfId="0" applyFont="1" applyBorder="1" applyAlignment="1">
      <alignment wrapText="1"/>
    </xf>
    <xf numFmtId="0" fontId="8" fillId="0" borderId="40" xfId="0" applyFont="1" applyBorder="1" applyAlignment="1">
      <alignment wrapText="1"/>
    </xf>
    <xf numFmtId="0" fontId="1" fillId="0" borderId="37" xfId="0" applyFont="1" applyBorder="1" applyAlignment="1">
      <alignment wrapText="1"/>
    </xf>
    <xf numFmtId="0" fontId="0" fillId="0" borderId="8" xfId="0" applyBorder="1" applyAlignment="1">
      <alignment wrapText="1"/>
    </xf>
    <xf numFmtId="0" fontId="0" fillId="0" borderId="44" xfId="0" applyBorder="1" applyAlignment="1">
      <alignment wrapText="1"/>
    </xf>
    <xf numFmtId="0" fontId="23" fillId="0" borderId="34" xfId="0" applyFont="1" applyBorder="1" applyAlignment="1">
      <alignment wrapText="1"/>
    </xf>
    <xf numFmtId="164" fontId="23" fillId="6" borderId="13" xfId="0" applyNumberFormat="1" applyFont="1" applyFill="1" applyBorder="1" applyAlignment="1">
      <alignment horizontal="right" wrapText="1"/>
    </xf>
    <xf numFmtId="164" fontId="23" fillId="6" borderId="40" xfId="0" applyNumberFormat="1" applyFont="1" applyFill="1" applyBorder="1" applyAlignment="1">
      <alignment horizontal="right" wrapText="1"/>
    </xf>
    <xf numFmtId="4" fontId="23" fillId="6" borderId="11" xfId="0" applyNumberFormat="1" applyFont="1" applyFill="1" applyBorder="1" applyAlignment="1">
      <alignment horizontal="right" wrapText="1"/>
    </xf>
    <xf numFmtId="2" fontId="23" fillId="6" borderId="43" xfId="0" applyNumberFormat="1" applyFont="1" applyFill="1" applyBorder="1" applyAlignment="1">
      <alignment horizontal="righ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278"/>
  <sheetViews>
    <sheetView tabSelected="1" topLeftCell="A194" zoomScale="90" zoomScaleNormal="90" workbookViewId="0">
      <selection activeCell="D202" sqref="D202"/>
    </sheetView>
  </sheetViews>
  <sheetFormatPr defaultColWidth="8.85546875" defaultRowHeight="15" x14ac:dyDescent="0.25"/>
  <cols>
    <col min="1" max="1" width="13.28515625" style="2" customWidth="1"/>
    <col min="2" max="2" width="19.85546875" style="2" bestFit="1" customWidth="1"/>
    <col min="3" max="3" width="84.85546875" style="2" customWidth="1"/>
    <col min="4" max="4" width="18.28515625" style="2" customWidth="1"/>
    <col min="5" max="5" width="4.140625" style="2" customWidth="1"/>
    <col min="6" max="6" width="17.42578125" style="2" customWidth="1"/>
    <col min="7" max="7" width="18.85546875" style="2" customWidth="1"/>
    <col min="8" max="8" width="75.140625" style="2" customWidth="1"/>
    <col min="9" max="9" width="13.7109375" style="2" customWidth="1"/>
    <col min="10" max="10" width="2.85546875" style="2" customWidth="1"/>
    <col min="11" max="11" width="45.85546875" style="2" customWidth="1"/>
    <col min="12" max="12" width="15.85546875" style="2" bestFit="1" customWidth="1"/>
    <col min="13" max="13" width="17.42578125" style="2" customWidth="1"/>
    <col min="14" max="14" width="13.42578125" style="2" bestFit="1" customWidth="1"/>
    <col min="15" max="15" width="12.85546875" style="2" customWidth="1"/>
    <col min="16" max="18" width="8.85546875" style="2"/>
    <col min="19" max="19" width="8.85546875" style="2" customWidth="1"/>
    <col min="20" max="16384" width="8.85546875" style="2"/>
  </cols>
  <sheetData>
    <row r="1" spans="1:9" ht="21" x14ac:dyDescent="0.35">
      <c r="A1" s="26"/>
      <c r="C1" s="328" t="s">
        <v>895</v>
      </c>
      <c r="D1" s="329">
        <v>45846</v>
      </c>
    </row>
    <row r="2" spans="1:9" ht="23.25" x14ac:dyDescent="0.35">
      <c r="A2" s="26"/>
      <c r="C2" s="229"/>
      <c r="D2" s="230"/>
    </row>
    <row r="3" spans="1:9" ht="24" x14ac:dyDescent="0.4">
      <c r="A3" s="1" t="s">
        <v>900</v>
      </c>
      <c r="C3" s="8"/>
    </row>
    <row r="4" spans="1:9" ht="24" x14ac:dyDescent="0.4">
      <c r="A4" s="1" t="s">
        <v>899</v>
      </c>
      <c r="C4" s="8"/>
    </row>
    <row r="5" spans="1:9" ht="21.75" thickBot="1" x14ac:dyDescent="0.4">
      <c r="D5" s="140"/>
    </row>
    <row r="6" spans="1:9" ht="21.75" thickBot="1" x14ac:dyDescent="0.4">
      <c r="A6" s="71" t="s">
        <v>2</v>
      </c>
      <c r="B6" s="72"/>
      <c r="C6" s="73" t="s">
        <v>627</v>
      </c>
      <c r="G6" s="231" t="s">
        <v>0</v>
      </c>
      <c r="H6" s="118"/>
    </row>
    <row r="7" spans="1:9" ht="21.75" thickBot="1" x14ac:dyDescent="0.4">
      <c r="A7" s="100" t="s">
        <v>4</v>
      </c>
      <c r="B7" s="101"/>
      <c r="C7" s="102" t="s">
        <v>5</v>
      </c>
      <c r="G7" s="119" t="s">
        <v>1</v>
      </c>
      <c r="H7" s="120"/>
    </row>
    <row r="8" spans="1:9" x14ac:dyDescent="0.25">
      <c r="G8" s="121" t="s">
        <v>3</v>
      </c>
      <c r="H8" s="122"/>
      <c r="I8" s="9"/>
    </row>
    <row r="9" spans="1:9" ht="21" x14ac:dyDescent="0.35">
      <c r="C9" s="232" t="s">
        <v>896</v>
      </c>
      <c r="D9" s="233" t="s">
        <v>907</v>
      </c>
      <c r="G9" s="123" t="s">
        <v>6</v>
      </c>
      <c r="H9" s="124"/>
      <c r="I9" s="9"/>
    </row>
    <row r="10" spans="1:9" ht="21.75" thickBot="1" x14ac:dyDescent="0.4">
      <c r="C10" s="234" t="s">
        <v>897</v>
      </c>
      <c r="D10" s="235" t="s">
        <v>908</v>
      </c>
      <c r="G10" s="242" t="s">
        <v>7</v>
      </c>
      <c r="H10" s="243"/>
      <c r="I10" s="9"/>
    </row>
    <row r="11" spans="1:9" ht="28.5" customHeight="1" x14ac:dyDescent="0.25">
      <c r="A11" s="350" t="s">
        <v>898</v>
      </c>
      <c r="B11" s="351"/>
      <c r="C11" s="351"/>
      <c r="D11" s="351"/>
      <c r="E11" s="351"/>
      <c r="F11" s="351"/>
      <c r="G11" s="99"/>
      <c r="H11" s="99"/>
      <c r="I11" s="9"/>
    </row>
    <row r="12" spans="1:9" x14ac:dyDescent="0.25">
      <c r="G12" s="99"/>
      <c r="H12" s="99"/>
      <c r="I12" s="9"/>
    </row>
    <row r="13" spans="1:9" ht="21" x14ac:dyDescent="0.35">
      <c r="A13" s="5" t="s">
        <v>8</v>
      </c>
      <c r="C13" s="4"/>
      <c r="G13" s="86"/>
    </row>
    <row r="14" spans="1:9" x14ac:dyDescent="0.25">
      <c r="A14" s="24" t="s">
        <v>9</v>
      </c>
      <c r="B14" s="25"/>
      <c r="C14" s="25" t="s">
        <v>10</v>
      </c>
      <c r="D14" s="194"/>
      <c r="E14" s="194"/>
      <c r="F14" s="194" t="s">
        <v>11</v>
      </c>
      <c r="G14" s="194" t="s">
        <v>683</v>
      </c>
      <c r="H14" s="59" t="s">
        <v>12</v>
      </c>
    </row>
    <row r="15" spans="1:9" ht="30" x14ac:dyDescent="0.25">
      <c r="A15" s="236" t="s">
        <v>684</v>
      </c>
      <c r="B15" s="23" t="s">
        <v>681</v>
      </c>
      <c r="C15" s="23" t="s">
        <v>700</v>
      </c>
      <c r="D15" s="114" t="s">
        <v>753</v>
      </c>
      <c r="E15" s="195"/>
      <c r="F15" s="196">
        <v>65</v>
      </c>
      <c r="G15" s="244" t="s">
        <v>752</v>
      </c>
      <c r="H15" s="149" t="s">
        <v>775</v>
      </c>
    </row>
    <row r="16" spans="1:9" ht="30" x14ac:dyDescent="0.25">
      <c r="A16" s="236" t="s">
        <v>684</v>
      </c>
      <c r="B16" s="23" t="s">
        <v>681</v>
      </c>
      <c r="C16" s="23" t="s">
        <v>700</v>
      </c>
      <c r="D16" s="114" t="s">
        <v>754</v>
      </c>
      <c r="E16" s="76"/>
      <c r="F16" s="196">
        <v>20</v>
      </c>
      <c r="G16" s="157" t="s">
        <v>752</v>
      </c>
      <c r="H16" s="149" t="s">
        <v>775</v>
      </c>
    </row>
    <row r="17" spans="1:8" ht="30" x14ac:dyDescent="0.25">
      <c r="A17" s="236" t="s">
        <v>684</v>
      </c>
      <c r="B17" s="23" t="s">
        <v>681</v>
      </c>
      <c r="C17" s="23" t="s">
        <v>700</v>
      </c>
      <c r="D17" s="114" t="s">
        <v>757</v>
      </c>
      <c r="E17" s="76"/>
      <c r="F17" s="196">
        <v>15</v>
      </c>
      <c r="G17" s="157" t="s">
        <v>752</v>
      </c>
      <c r="H17" s="149" t="s">
        <v>775</v>
      </c>
    </row>
    <row r="18" spans="1:8" x14ac:dyDescent="0.25">
      <c r="A18" s="237"/>
      <c r="B18" s="150"/>
      <c r="C18" s="150"/>
      <c r="D18" s="76"/>
      <c r="E18" s="76"/>
      <c r="F18" s="77"/>
      <c r="G18" s="76"/>
      <c r="H18" s="172"/>
    </row>
    <row r="19" spans="1:8" ht="30" x14ac:dyDescent="0.25">
      <c r="A19" s="236" t="s">
        <v>684</v>
      </c>
      <c r="B19" s="23" t="s">
        <v>698</v>
      </c>
      <c r="C19" s="23" t="s">
        <v>699</v>
      </c>
      <c r="D19" s="147" t="s">
        <v>755</v>
      </c>
      <c r="E19" s="148"/>
      <c r="F19" s="238">
        <v>200000</v>
      </c>
      <c r="G19" s="239" t="s">
        <v>16</v>
      </c>
      <c r="H19" s="173"/>
    </row>
    <row r="20" spans="1:8" x14ac:dyDescent="0.25">
      <c r="A20" s="236"/>
      <c r="B20" s="23"/>
      <c r="C20" s="23"/>
      <c r="D20" s="150"/>
      <c r="E20" s="148"/>
      <c r="F20" s="239"/>
      <c r="G20" s="239"/>
      <c r="H20" s="173"/>
    </row>
    <row r="21" spans="1:8" ht="30" x14ac:dyDescent="0.25">
      <c r="A21" s="236" t="s">
        <v>684</v>
      </c>
      <c r="B21" s="23" t="s">
        <v>13</v>
      </c>
      <c r="C21" s="23" t="s">
        <v>701</v>
      </c>
      <c r="D21" s="114" t="s">
        <v>756</v>
      </c>
      <c r="E21" s="90"/>
      <c r="F21" s="115">
        <v>150000</v>
      </c>
      <c r="G21" s="86" t="s">
        <v>16</v>
      </c>
      <c r="H21" s="174"/>
    </row>
    <row r="22" spans="1:8" ht="30" x14ac:dyDescent="0.25">
      <c r="A22" s="236" t="s">
        <v>684</v>
      </c>
      <c r="B22" s="23" t="s">
        <v>13</v>
      </c>
      <c r="C22" s="23" t="s">
        <v>701</v>
      </c>
      <c r="D22" s="114" t="s">
        <v>758</v>
      </c>
      <c r="E22" s="90"/>
      <c r="F22" s="115">
        <v>50000</v>
      </c>
      <c r="G22" s="86" t="s">
        <v>16</v>
      </c>
      <c r="H22" s="174"/>
    </row>
    <row r="23" spans="1:8" s="103" customFormat="1" x14ac:dyDescent="0.25">
      <c r="A23" s="236"/>
      <c r="B23" s="23"/>
      <c r="C23" s="23"/>
      <c r="D23" s="89"/>
      <c r="E23" s="90"/>
      <c r="F23" s="91"/>
      <c r="G23" s="86"/>
      <c r="H23" s="174"/>
    </row>
    <row r="24" spans="1:8" ht="30" x14ac:dyDescent="0.25">
      <c r="A24" s="236" t="s">
        <v>684</v>
      </c>
      <c r="B24" s="23" t="s">
        <v>17</v>
      </c>
      <c r="C24" s="23" t="s">
        <v>18</v>
      </c>
      <c r="D24" s="92" t="s">
        <v>759</v>
      </c>
      <c r="E24" s="90"/>
      <c r="F24" s="197" t="s">
        <v>19</v>
      </c>
      <c r="G24" s="93" t="s">
        <v>19</v>
      </c>
      <c r="H24" s="174"/>
    </row>
    <row r="25" spans="1:8" x14ac:dyDescent="0.25">
      <c r="A25" s="236"/>
      <c r="B25" s="23"/>
      <c r="C25" s="23"/>
      <c r="D25" s="146"/>
      <c r="E25" s="146"/>
      <c r="F25" s="198"/>
      <c r="G25" s="93"/>
      <c r="H25" s="174"/>
    </row>
    <row r="26" spans="1:8" x14ac:dyDescent="0.25">
      <c r="A26" s="236" t="s">
        <v>684</v>
      </c>
      <c r="B26" s="23" t="s">
        <v>20</v>
      </c>
      <c r="C26" s="23" t="s">
        <v>21</v>
      </c>
      <c r="D26" s="182"/>
      <c r="E26" s="161"/>
      <c r="F26" s="199">
        <v>30</v>
      </c>
      <c r="G26" s="152" t="s">
        <v>19</v>
      </c>
      <c r="H26" s="175"/>
    </row>
    <row r="27" spans="1:8" x14ac:dyDescent="0.25">
      <c r="A27" s="236"/>
      <c r="B27" s="23"/>
      <c r="C27" s="23"/>
      <c r="D27" s="158"/>
      <c r="E27" s="170"/>
      <c r="F27" s="240"/>
      <c r="G27" s="152"/>
      <c r="H27" s="175"/>
    </row>
    <row r="28" spans="1:8" ht="45" x14ac:dyDescent="0.25">
      <c r="A28" s="245" t="s">
        <v>684</v>
      </c>
      <c r="B28" s="136" t="s">
        <v>731</v>
      </c>
      <c r="C28" s="136" t="s">
        <v>732</v>
      </c>
      <c r="D28" s="246" t="s">
        <v>760</v>
      </c>
      <c r="E28" s="241"/>
      <c r="F28" s="207"/>
      <c r="G28" s="155" t="s">
        <v>733</v>
      </c>
      <c r="H28" s="186" t="s">
        <v>761</v>
      </c>
    </row>
    <row r="29" spans="1:8" x14ac:dyDescent="0.25">
      <c r="A29" s="23"/>
      <c r="B29" s="23"/>
      <c r="C29" s="23"/>
      <c r="D29" s="158"/>
      <c r="E29" s="159"/>
      <c r="F29" s="200"/>
      <c r="G29" s="160"/>
      <c r="H29" s="176"/>
    </row>
    <row r="30" spans="1:8" ht="30" x14ac:dyDescent="0.25">
      <c r="A30" s="23" t="s">
        <v>686</v>
      </c>
      <c r="B30" s="2" t="s">
        <v>681</v>
      </c>
      <c r="C30" s="2" t="s">
        <v>682</v>
      </c>
      <c r="D30" s="114" t="s">
        <v>753</v>
      </c>
      <c r="E30" s="76"/>
      <c r="F30" s="196">
        <v>100</v>
      </c>
      <c r="G30" s="157" t="s">
        <v>752</v>
      </c>
      <c r="H30" s="149" t="s">
        <v>775</v>
      </c>
    </row>
    <row r="31" spans="1:8" x14ac:dyDescent="0.25">
      <c r="A31" s="23"/>
      <c r="B31" s="4"/>
      <c r="C31" s="4"/>
      <c r="D31" s="76"/>
      <c r="E31" s="76"/>
      <c r="F31" s="77"/>
      <c r="G31" s="76"/>
      <c r="H31" s="172"/>
    </row>
    <row r="32" spans="1:8" ht="30" x14ac:dyDescent="0.25">
      <c r="A32" s="23" t="s">
        <v>686</v>
      </c>
      <c r="B32" s="2" t="s">
        <v>13</v>
      </c>
      <c r="C32" s="2" t="s">
        <v>14</v>
      </c>
      <c r="D32" s="114" t="s">
        <v>758</v>
      </c>
      <c r="E32" s="90"/>
      <c r="F32" s="115">
        <v>30000</v>
      </c>
      <c r="G32" s="86" t="s">
        <v>16</v>
      </c>
      <c r="H32" s="174"/>
    </row>
    <row r="33" spans="1:8" s="103" customFormat="1" x14ac:dyDescent="0.25">
      <c r="A33" s="23"/>
      <c r="B33" s="2"/>
      <c r="C33" s="2"/>
      <c r="D33" s="89"/>
      <c r="E33" s="90"/>
      <c r="F33" s="91"/>
      <c r="G33" s="86"/>
      <c r="H33" s="174"/>
    </row>
    <row r="34" spans="1:8" ht="30" x14ac:dyDescent="0.25">
      <c r="A34" s="23" t="s">
        <v>686</v>
      </c>
      <c r="B34" s="2" t="s">
        <v>17</v>
      </c>
      <c r="C34" s="2" t="s">
        <v>18</v>
      </c>
      <c r="D34" s="183" t="s">
        <v>15</v>
      </c>
      <c r="E34" s="90"/>
      <c r="F34" s="197" t="s">
        <v>19</v>
      </c>
      <c r="G34" s="152" t="s">
        <v>19</v>
      </c>
      <c r="H34" s="174"/>
    </row>
    <row r="35" spans="1:8" s="103" customFormat="1" ht="30" x14ac:dyDescent="0.25">
      <c r="A35" s="136" t="s">
        <v>770</v>
      </c>
      <c r="B35" s="136" t="s">
        <v>771</v>
      </c>
      <c r="C35" s="136" t="s">
        <v>772</v>
      </c>
      <c r="D35" s="187"/>
      <c r="E35" s="185"/>
      <c r="F35" s="201">
        <v>400</v>
      </c>
      <c r="G35" s="129" t="s">
        <v>773</v>
      </c>
      <c r="H35" s="186" t="s">
        <v>774</v>
      </c>
    </row>
    <row r="36" spans="1:8" x14ac:dyDescent="0.25">
      <c r="A36" s="23"/>
      <c r="D36" s="158"/>
      <c r="E36" s="161"/>
      <c r="F36" s="202"/>
      <c r="G36" s="152"/>
      <c r="H36" s="175"/>
    </row>
    <row r="37" spans="1:8" ht="30" x14ac:dyDescent="0.25">
      <c r="A37" s="23" t="s">
        <v>685</v>
      </c>
      <c r="B37" s="23" t="s">
        <v>628</v>
      </c>
      <c r="C37" s="23" t="s">
        <v>702</v>
      </c>
      <c r="D37" s="92" t="s">
        <v>762</v>
      </c>
      <c r="E37" s="90"/>
      <c r="F37" s="203">
        <v>30000</v>
      </c>
      <c r="G37" s="153" t="s">
        <v>16</v>
      </c>
      <c r="H37" s="174"/>
    </row>
    <row r="38" spans="1:8" x14ac:dyDescent="0.25">
      <c r="A38" s="23"/>
      <c r="B38" s="23"/>
      <c r="C38" s="23"/>
      <c r="D38" s="154"/>
      <c r="E38" s="154"/>
      <c r="F38" s="204"/>
      <c r="G38" s="154"/>
      <c r="H38" s="174"/>
    </row>
    <row r="39" spans="1:8" ht="30" x14ac:dyDescent="0.25">
      <c r="A39" s="23" t="s">
        <v>685</v>
      </c>
      <c r="B39" s="23" t="s">
        <v>13</v>
      </c>
      <c r="C39" s="23" t="s">
        <v>701</v>
      </c>
      <c r="D39" s="147" t="s">
        <v>763</v>
      </c>
      <c r="E39" s="133"/>
      <c r="F39" s="205">
        <v>30000</v>
      </c>
      <c r="G39" s="154" t="s">
        <v>16</v>
      </c>
      <c r="H39" s="174"/>
    </row>
    <row r="40" spans="1:8" s="103" customFormat="1" x14ac:dyDescent="0.25">
      <c r="A40" s="23"/>
      <c r="B40" s="23"/>
      <c r="C40" s="23"/>
      <c r="D40" s="156"/>
      <c r="E40" s="90"/>
      <c r="F40" s="91"/>
      <c r="G40" s="154"/>
      <c r="H40" s="174"/>
    </row>
    <row r="41" spans="1:8" ht="30" x14ac:dyDescent="0.25">
      <c r="A41" s="136" t="s">
        <v>685</v>
      </c>
      <c r="B41" s="136" t="s">
        <v>17</v>
      </c>
      <c r="C41" s="136" t="s">
        <v>18</v>
      </c>
      <c r="D41" s="151" t="s">
        <v>764</v>
      </c>
      <c r="E41" s="134"/>
      <c r="F41" s="206" t="s">
        <v>19</v>
      </c>
      <c r="G41" s="129" t="s">
        <v>19</v>
      </c>
      <c r="H41" s="177"/>
    </row>
    <row r="42" spans="1:8" x14ac:dyDescent="0.25">
      <c r="A42" s="23"/>
      <c r="B42" s="23"/>
      <c r="C42" s="23"/>
      <c r="D42" s="162"/>
      <c r="E42" s="133"/>
      <c r="F42" s="202"/>
      <c r="G42" s="152"/>
      <c r="H42" s="174"/>
    </row>
    <row r="43" spans="1:8" ht="45" x14ac:dyDescent="0.25">
      <c r="A43" s="2" t="s">
        <v>22</v>
      </c>
      <c r="B43" s="2" t="s">
        <v>23</v>
      </c>
      <c r="C43" s="2" t="s">
        <v>24</v>
      </c>
      <c r="D43" s="92" t="s">
        <v>765</v>
      </c>
      <c r="E43" s="95"/>
      <c r="F43" s="94">
        <v>200000</v>
      </c>
      <c r="G43" s="154" t="s">
        <v>25</v>
      </c>
      <c r="H43" s="178"/>
    </row>
    <row r="44" spans="1:8" ht="45" x14ac:dyDescent="0.25">
      <c r="A44" s="2" t="s">
        <v>22</v>
      </c>
      <c r="B44" s="2" t="s">
        <v>23</v>
      </c>
      <c r="C44" s="2" t="s">
        <v>24</v>
      </c>
      <c r="D44" s="92" t="s">
        <v>766</v>
      </c>
      <c r="E44" s="95"/>
      <c r="F44" s="94">
        <v>30000</v>
      </c>
      <c r="G44" s="154" t="s">
        <v>25</v>
      </c>
      <c r="H44" s="178"/>
    </row>
    <row r="45" spans="1:8" ht="45" x14ac:dyDescent="0.25">
      <c r="A45" s="2" t="s">
        <v>22</v>
      </c>
      <c r="B45" s="2" t="s">
        <v>23</v>
      </c>
      <c r="C45" s="2" t="s">
        <v>24</v>
      </c>
      <c r="D45" s="92" t="s">
        <v>767</v>
      </c>
      <c r="E45" s="95"/>
      <c r="F45" s="94">
        <v>90000</v>
      </c>
      <c r="G45" s="154" t="s">
        <v>25</v>
      </c>
      <c r="H45" s="178"/>
    </row>
    <row r="46" spans="1:8" x14ac:dyDescent="0.25">
      <c r="D46" s="183"/>
      <c r="E46" s="95"/>
      <c r="F46" s="184"/>
      <c r="G46" s="154"/>
      <c r="H46" s="178"/>
    </row>
    <row r="47" spans="1:8" ht="30" x14ac:dyDescent="0.25">
      <c r="A47" s="136" t="s">
        <v>22</v>
      </c>
      <c r="B47" s="136" t="s">
        <v>692</v>
      </c>
      <c r="C47" s="136" t="s">
        <v>703</v>
      </c>
      <c r="D47" s="151" t="s">
        <v>768</v>
      </c>
      <c r="E47" s="145"/>
      <c r="F47" s="207">
        <v>20000</v>
      </c>
      <c r="G47" s="155" t="s">
        <v>25</v>
      </c>
      <c r="H47" s="179"/>
    </row>
    <row r="48" spans="1:8" x14ac:dyDescent="0.25">
      <c r="A48" s="14"/>
      <c r="B48" s="14"/>
      <c r="C48" s="14"/>
      <c r="D48" s="141"/>
      <c r="E48" s="142"/>
      <c r="F48" s="143"/>
      <c r="G48" s="144"/>
      <c r="H48" s="178"/>
    </row>
    <row r="49" spans="1:16" ht="30" x14ac:dyDescent="0.25">
      <c r="A49" s="2" t="s">
        <v>26</v>
      </c>
      <c r="B49" s="2" t="s">
        <v>27</v>
      </c>
      <c r="C49" s="2" t="s">
        <v>28</v>
      </c>
      <c r="D49" s="128" t="s">
        <v>769</v>
      </c>
      <c r="E49" s="90"/>
      <c r="F49" s="115">
        <v>1</v>
      </c>
      <c r="G49" s="93" t="s">
        <v>19</v>
      </c>
      <c r="H49" s="174"/>
    </row>
    <row r="50" spans="1:16" ht="30" x14ac:dyDescent="0.25">
      <c r="A50" s="2" t="s">
        <v>26</v>
      </c>
      <c r="B50" s="2" t="s">
        <v>27</v>
      </c>
      <c r="C50" s="2" t="s">
        <v>28</v>
      </c>
      <c r="D50" s="128" t="s">
        <v>776</v>
      </c>
      <c r="E50" s="90"/>
      <c r="F50" s="115">
        <v>1</v>
      </c>
      <c r="G50" s="93" t="s">
        <v>19</v>
      </c>
      <c r="H50" s="174"/>
    </row>
    <row r="51" spans="1:16" x14ac:dyDescent="0.25">
      <c r="C51" s="17"/>
      <c r="D51" s="91"/>
      <c r="E51" s="90"/>
      <c r="F51" s="91"/>
      <c r="G51" s="86"/>
      <c r="H51" s="174"/>
    </row>
    <row r="52" spans="1:16" ht="30" x14ac:dyDescent="0.25">
      <c r="A52" s="2" t="s">
        <v>26</v>
      </c>
      <c r="B52" s="2" t="s">
        <v>29</v>
      </c>
      <c r="C52" s="2" t="s">
        <v>30</v>
      </c>
      <c r="D52" s="91"/>
      <c r="E52" s="90"/>
      <c r="F52" s="94">
        <v>3</v>
      </c>
      <c r="G52" s="86" t="s">
        <v>31</v>
      </c>
      <c r="H52" s="247" t="s">
        <v>32</v>
      </c>
    </row>
    <row r="53" spans="1:16" ht="30" x14ac:dyDescent="0.25">
      <c r="A53" s="2" t="s">
        <v>26</v>
      </c>
      <c r="B53" s="2" t="s">
        <v>29</v>
      </c>
      <c r="C53" s="2" t="s">
        <v>30</v>
      </c>
      <c r="D53" s="91"/>
      <c r="E53" s="90"/>
      <c r="F53" s="94">
        <v>12</v>
      </c>
      <c r="G53" s="86" t="s">
        <v>31</v>
      </c>
      <c r="H53" s="247" t="s">
        <v>32</v>
      </c>
    </row>
    <row r="54" spans="1:16" x14ac:dyDescent="0.25">
      <c r="A54" s="3"/>
      <c r="B54" s="3"/>
      <c r="C54" s="3"/>
      <c r="D54" s="131"/>
      <c r="E54" s="130"/>
      <c r="F54" s="131"/>
      <c r="G54" s="132"/>
      <c r="H54" s="180"/>
    </row>
    <row r="55" spans="1:16" ht="30" x14ac:dyDescent="0.25">
      <c r="A55" s="2" t="s">
        <v>629</v>
      </c>
      <c r="B55" s="2" t="s">
        <v>33</v>
      </c>
      <c r="C55" s="2" t="s">
        <v>34</v>
      </c>
      <c r="D55" s="157" t="s">
        <v>15</v>
      </c>
      <c r="E55" s="90"/>
      <c r="F55" s="115"/>
      <c r="G55" s="128" t="s">
        <v>15</v>
      </c>
      <c r="H55" s="181"/>
    </row>
    <row r="56" spans="1:16" x14ac:dyDescent="0.25">
      <c r="C56" s="17"/>
      <c r="D56" s="97"/>
      <c r="E56" s="90"/>
      <c r="F56" s="98"/>
      <c r="G56" s="99"/>
      <c r="H56" s="96"/>
    </row>
    <row r="57" spans="1:16" customFormat="1" ht="15" customHeight="1" x14ac:dyDescent="0.25">
      <c r="A57" s="347" t="s">
        <v>927</v>
      </c>
      <c r="B57" s="348"/>
      <c r="C57" s="348"/>
      <c r="D57" s="348"/>
      <c r="E57" s="348"/>
      <c r="F57" s="348"/>
      <c r="G57" s="348"/>
      <c r="H57" s="349"/>
      <c r="I57" s="2"/>
      <c r="J57" s="2"/>
      <c r="K57" s="2"/>
      <c r="L57" s="2"/>
      <c r="M57" s="2"/>
      <c r="N57" s="2"/>
      <c r="O57" s="2"/>
      <c r="P57" s="2"/>
    </row>
    <row r="58" spans="1:16" customFormat="1" x14ac:dyDescent="0.25">
      <c r="A58" s="352"/>
      <c r="B58" s="353"/>
      <c r="C58" s="353"/>
      <c r="D58" s="353"/>
      <c r="E58" s="353"/>
      <c r="F58" s="353"/>
      <c r="G58" s="353"/>
      <c r="H58" s="354"/>
      <c r="I58" s="2"/>
      <c r="J58" s="2"/>
      <c r="K58" s="2"/>
      <c r="L58" s="2"/>
      <c r="M58" s="2"/>
      <c r="N58" s="2"/>
      <c r="O58" s="2"/>
      <c r="P58" s="2"/>
    </row>
    <row r="59" spans="1:16" customFormat="1" x14ac:dyDescent="0.25">
      <c r="A59" s="355"/>
      <c r="B59" s="356"/>
      <c r="C59" s="356"/>
      <c r="D59" s="356"/>
      <c r="E59" s="356"/>
      <c r="F59" s="356"/>
      <c r="G59" s="356"/>
      <c r="H59" s="357"/>
      <c r="I59" s="2"/>
      <c r="J59" s="2"/>
      <c r="K59" s="2"/>
      <c r="L59" s="2"/>
      <c r="M59" s="2"/>
      <c r="N59" s="2"/>
      <c r="O59" s="2"/>
      <c r="P59" s="2"/>
    </row>
    <row r="60" spans="1:16" customFormat="1" x14ac:dyDescent="0.25">
      <c r="A60" s="355"/>
      <c r="B60" s="356"/>
      <c r="C60" s="356"/>
      <c r="D60" s="356"/>
      <c r="E60" s="356"/>
      <c r="F60" s="356"/>
      <c r="G60" s="356"/>
      <c r="H60" s="357"/>
      <c r="I60" s="2"/>
      <c r="J60" s="2"/>
      <c r="K60" s="2"/>
      <c r="L60" s="2"/>
      <c r="M60" s="2"/>
      <c r="N60" s="2"/>
      <c r="O60" s="2"/>
      <c r="P60" s="2"/>
    </row>
    <row r="61" spans="1:16" customFormat="1" x14ac:dyDescent="0.25">
      <c r="A61" s="358"/>
      <c r="B61" s="359"/>
      <c r="C61" s="359"/>
      <c r="D61" s="359"/>
      <c r="E61" s="359"/>
      <c r="F61" s="359"/>
      <c r="G61" s="359"/>
      <c r="H61" s="360"/>
      <c r="I61" s="2"/>
      <c r="J61" s="2"/>
      <c r="K61" s="2"/>
      <c r="L61" s="2"/>
      <c r="M61" s="2"/>
      <c r="N61" s="2"/>
      <c r="O61" s="2"/>
      <c r="P61" s="2"/>
    </row>
    <row r="62" spans="1:16" x14ac:dyDescent="0.25">
      <c r="G62" s="86"/>
      <c r="H62" s="9"/>
    </row>
    <row r="63" spans="1:16" x14ac:dyDescent="0.25">
      <c r="A63" s="6"/>
      <c r="B63" s="6"/>
      <c r="C63" s="6"/>
      <c r="D63" s="6"/>
      <c r="E63" s="6"/>
      <c r="F63" s="6"/>
      <c r="G63" s="326"/>
      <c r="H63" s="327"/>
      <c r="I63" s="6"/>
      <c r="J63" s="6"/>
      <c r="K63" s="6"/>
      <c r="L63" s="6"/>
      <c r="M63" s="6"/>
      <c r="N63" s="6"/>
      <c r="O63" s="6"/>
      <c r="P63" s="6"/>
    </row>
    <row r="64" spans="1:16" ht="21" x14ac:dyDescent="0.35">
      <c r="A64" s="5" t="s">
        <v>35</v>
      </c>
      <c r="D64" s="135"/>
      <c r="E64" s="33"/>
      <c r="F64" s="88"/>
      <c r="G64" s="33"/>
    </row>
    <row r="65" spans="1:6" x14ac:dyDescent="0.25">
      <c r="A65" s="24" t="s">
        <v>36</v>
      </c>
      <c r="B65" s="25" t="s">
        <v>37</v>
      </c>
      <c r="C65" s="25"/>
      <c r="D65" s="59" t="s">
        <v>16</v>
      </c>
    </row>
    <row r="66" spans="1:6" x14ac:dyDescent="0.25">
      <c r="A66" s="41"/>
      <c r="D66" s="116" t="s">
        <v>15</v>
      </c>
    </row>
    <row r="67" spans="1:6" x14ac:dyDescent="0.25">
      <c r="A67" s="41" t="s">
        <v>41</v>
      </c>
      <c r="B67" s="2" t="s">
        <v>42</v>
      </c>
      <c r="C67" s="2" t="s">
        <v>43</v>
      </c>
      <c r="D67" s="49">
        <v>330000</v>
      </c>
      <c r="F67" s="135"/>
    </row>
    <row r="68" spans="1:6" x14ac:dyDescent="0.25">
      <c r="A68" s="41" t="s">
        <v>44</v>
      </c>
      <c r="B68" s="2" t="s">
        <v>522</v>
      </c>
      <c r="C68" s="2" t="s">
        <v>541</v>
      </c>
      <c r="D68" s="49">
        <v>220000</v>
      </c>
      <c r="F68" s="135"/>
    </row>
    <row r="69" spans="1:6" x14ac:dyDescent="0.25">
      <c r="A69" s="138" t="s">
        <v>687</v>
      </c>
      <c r="B69" s="23" t="s">
        <v>688</v>
      </c>
      <c r="C69" s="23" t="s">
        <v>689</v>
      </c>
      <c r="D69" s="55">
        <f>D67+D68</f>
        <v>550000</v>
      </c>
      <c r="F69" s="135"/>
    </row>
    <row r="70" spans="1:6" x14ac:dyDescent="0.25">
      <c r="A70" s="138"/>
      <c r="B70" s="23"/>
      <c r="C70" s="23"/>
      <c r="D70" s="117" t="s">
        <v>16</v>
      </c>
    </row>
    <row r="71" spans="1:6" x14ac:dyDescent="0.25">
      <c r="A71" s="138" t="s">
        <v>38</v>
      </c>
      <c r="B71" s="23" t="s">
        <v>39</v>
      </c>
      <c r="C71" s="23" t="s">
        <v>716</v>
      </c>
      <c r="D71" s="49">
        <v>200000</v>
      </c>
    </row>
    <row r="72" spans="1:6" x14ac:dyDescent="0.25">
      <c r="A72" s="138" t="s">
        <v>40</v>
      </c>
      <c r="B72" s="23" t="s">
        <v>622</v>
      </c>
      <c r="C72" s="23" t="s">
        <v>717</v>
      </c>
      <c r="D72" s="49">
        <v>30000</v>
      </c>
    </row>
    <row r="73" spans="1:6" x14ac:dyDescent="0.25">
      <c r="A73" s="138" t="s">
        <v>45</v>
      </c>
      <c r="B73" s="23" t="s">
        <v>630</v>
      </c>
      <c r="C73" s="23" t="s">
        <v>704</v>
      </c>
      <c r="D73" s="49">
        <v>30000</v>
      </c>
    </row>
    <row r="74" spans="1:6" x14ac:dyDescent="0.25">
      <c r="A74" s="138" t="s">
        <v>48</v>
      </c>
      <c r="B74" s="23" t="s">
        <v>46</v>
      </c>
      <c r="C74" s="23" t="s">
        <v>47</v>
      </c>
      <c r="D74" s="49">
        <v>0</v>
      </c>
    </row>
    <row r="75" spans="1:6" x14ac:dyDescent="0.25">
      <c r="A75" s="138" t="s">
        <v>49</v>
      </c>
      <c r="B75" s="23" t="s">
        <v>542</v>
      </c>
      <c r="C75" s="23" t="s">
        <v>523</v>
      </c>
      <c r="D75" s="49">
        <v>0</v>
      </c>
    </row>
    <row r="76" spans="1:6" x14ac:dyDescent="0.25">
      <c r="A76" s="138" t="s">
        <v>631</v>
      </c>
      <c r="B76" s="23" t="s">
        <v>50</v>
      </c>
      <c r="C76" s="23" t="s">
        <v>51</v>
      </c>
      <c r="D76" s="49">
        <v>0</v>
      </c>
    </row>
    <row r="77" spans="1:6" x14ac:dyDescent="0.25">
      <c r="A77" s="138"/>
      <c r="B77" s="23"/>
      <c r="C77" s="23"/>
      <c r="D77" s="117" t="s">
        <v>25</v>
      </c>
    </row>
    <row r="78" spans="1:6" x14ac:dyDescent="0.25">
      <c r="A78" s="41" t="s">
        <v>52</v>
      </c>
      <c r="B78" s="2" t="s">
        <v>53</v>
      </c>
      <c r="C78" s="23" t="s">
        <v>928</v>
      </c>
      <c r="D78" s="49">
        <v>260000</v>
      </c>
    </row>
    <row r="79" spans="1:6" x14ac:dyDescent="0.25">
      <c r="A79" s="41"/>
      <c r="D79" s="117" t="s">
        <v>57</v>
      </c>
    </row>
    <row r="80" spans="1:6" x14ac:dyDescent="0.25">
      <c r="A80" s="50" t="s">
        <v>54</v>
      </c>
      <c r="B80" s="3" t="s">
        <v>55</v>
      </c>
      <c r="C80" s="3" t="s">
        <v>56</v>
      </c>
      <c r="D80" s="51">
        <f>D74+D75+D78</f>
        <v>260000</v>
      </c>
    </row>
    <row r="81" spans="1:16" x14ac:dyDescent="0.25">
      <c r="D81" s="18"/>
      <c r="E81" s="19"/>
    </row>
    <row r="82" spans="1:16" x14ac:dyDescent="0.25">
      <c r="A82" s="6"/>
      <c r="B82" s="6"/>
      <c r="C82" s="6"/>
      <c r="D82" s="11"/>
      <c r="E82" s="11"/>
      <c r="F82" s="12"/>
      <c r="G82" s="6"/>
      <c r="H82" s="6"/>
      <c r="I82" s="6"/>
      <c r="J82" s="6"/>
      <c r="K82" s="6"/>
      <c r="L82" s="6"/>
      <c r="M82" s="6"/>
      <c r="N82" s="6"/>
      <c r="O82" s="6"/>
      <c r="P82" s="6"/>
    </row>
    <row r="83" spans="1:16" ht="21.75" thickBot="1" x14ac:dyDescent="0.4">
      <c r="A83" s="5" t="s">
        <v>58</v>
      </c>
      <c r="F83" s="18"/>
      <c r="G83" s="19"/>
    </row>
    <row r="84" spans="1:16" ht="21" x14ac:dyDescent="0.35">
      <c r="A84" s="39" t="s">
        <v>36</v>
      </c>
      <c r="B84" s="27" t="s">
        <v>37</v>
      </c>
      <c r="C84" s="27" t="s">
        <v>10</v>
      </c>
      <c r="D84" s="40" t="s">
        <v>59</v>
      </c>
      <c r="F84" s="39" t="s">
        <v>36</v>
      </c>
      <c r="G84" s="27" t="s">
        <v>37</v>
      </c>
      <c r="H84" s="27" t="s">
        <v>10</v>
      </c>
      <c r="I84" s="40" t="s">
        <v>59</v>
      </c>
      <c r="K84" s="126" t="s">
        <v>155</v>
      </c>
      <c r="L84" s="127"/>
      <c r="M84" s="127"/>
      <c r="N84" s="127"/>
      <c r="O84" s="127"/>
      <c r="P84" s="214"/>
    </row>
    <row r="85" spans="1:16" ht="30" x14ac:dyDescent="0.25">
      <c r="A85" s="137"/>
      <c r="B85" s="113" t="s">
        <v>60</v>
      </c>
      <c r="C85" s="113" t="s">
        <v>735</v>
      </c>
      <c r="D85" s="48">
        <v>1500</v>
      </c>
      <c r="F85" s="47" t="s">
        <v>61</v>
      </c>
      <c r="G85" s="20" t="s">
        <v>62</v>
      </c>
      <c r="H85" s="20" t="s">
        <v>63</v>
      </c>
      <c r="I85" s="44">
        <f>D115+D117*D113/D99</f>
        <v>24.788844621513945</v>
      </c>
      <c r="K85" s="367" t="s">
        <v>918</v>
      </c>
      <c r="L85" s="368"/>
      <c r="M85" s="368"/>
      <c r="N85" s="368"/>
      <c r="O85" s="368"/>
      <c r="P85" s="369"/>
    </row>
    <row r="86" spans="1:16" ht="30" x14ac:dyDescent="0.25">
      <c r="A86" s="138"/>
      <c r="B86" s="23" t="s">
        <v>901</v>
      </c>
      <c r="C86" s="23" t="s">
        <v>727</v>
      </c>
      <c r="D86" s="49">
        <v>280</v>
      </c>
      <c r="E86" s="168"/>
      <c r="F86" s="41" t="s">
        <v>64</v>
      </c>
      <c r="G86" s="2" t="s">
        <v>860</v>
      </c>
      <c r="H86" s="2" t="s">
        <v>65</v>
      </c>
      <c r="I86" s="42">
        <f>D106+D117*D92/D99</f>
        <v>56.972111553784863</v>
      </c>
      <c r="K86" s="370" t="s">
        <v>919</v>
      </c>
      <c r="L86" s="365"/>
      <c r="M86" s="365"/>
      <c r="N86" s="365"/>
      <c r="O86" s="365"/>
      <c r="P86" s="366"/>
    </row>
    <row r="87" spans="1:16" ht="30" x14ac:dyDescent="0.25">
      <c r="A87" s="23"/>
      <c r="B87" s="23" t="s">
        <v>726</v>
      </c>
      <c r="C87" s="23" t="s">
        <v>728</v>
      </c>
      <c r="D87" s="62">
        <v>20</v>
      </c>
      <c r="E87" s="14"/>
      <c r="F87" s="41" t="s">
        <v>68</v>
      </c>
      <c r="G87" s="2" t="s">
        <v>69</v>
      </c>
      <c r="H87" s="2" t="s">
        <v>690</v>
      </c>
      <c r="I87" s="42">
        <f>D107+D117*D93/D99</f>
        <v>41.314741035856571</v>
      </c>
      <c r="K87" s="252"/>
      <c r="L87" s="253"/>
      <c r="M87" s="148" t="s">
        <v>892</v>
      </c>
      <c r="N87" s="218" t="s">
        <v>892</v>
      </c>
      <c r="O87" s="148" t="s">
        <v>893</v>
      </c>
      <c r="P87" s="209" t="s">
        <v>893</v>
      </c>
    </row>
    <row r="88" spans="1:16" ht="30" x14ac:dyDescent="0.25">
      <c r="A88" s="248"/>
      <c r="B88" s="23" t="s">
        <v>66</v>
      </c>
      <c r="C88" s="23" t="s">
        <v>67</v>
      </c>
      <c r="D88" s="49">
        <v>50</v>
      </c>
      <c r="F88" s="41" t="s">
        <v>73</v>
      </c>
      <c r="G88" s="2" t="s">
        <v>543</v>
      </c>
      <c r="H88" s="2" t="s">
        <v>524</v>
      </c>
      <c r="I88" s="42">
        <f>D116+D117*D114/D99</f>
        <v>16.525896414342629</v>
      </c>
      <c r="K88" s="254" t="s">
        <v>835</v>
      </c>
      <c r="L88" s="215" t="s">
        <v>683</v>
      </c>
      <c r="M88" s="255" t="s">
        <v>36</v>
      </c>
      <c r="N88" s="256" t="s">
        <v>11</v>
      </c>
      <c r="O88" s="255" t="s">
        <v>36</v>
      </c>
      <c r="P88" s="257" t="s">
        <v>11</v>
      </c>
    </row>
    <row r="89" spans="1:16" ht="45" x14ac:dyDescent="0.25">
      <c r="A89" s="248"/>
      <c r="B89" s="23" t="s">
        <v>934</v>
      </c>
      <c r="C89" s="23" t="s">
        <v>942</v>
      </c>
      <c r="D89" s="62">
        <v>20</v>
      </c>
      <c r="F89" s="41" t="s">
        <v>75</v>
      </c>
      <c r="G89" s="2" t="s">
        <v>861</v>
      </c>
      <c r="H89" s="2" t="s">
        <v>544</v>
      </c>
      <c r="I89" s="42">
        <f>D108+D117*D94/D99</f>
        <v>64.800796812749013</v>
      </c>
      <c r="K89" s="210" t="s">
        <v>839</v>
      </c>
      <c r="L89" s="215" t="s">
        <v>706</v>
      </c>
      <c r="M89" s="255" t="s">
        <v>159</v>
      </c>
      <c r="N89" s="258">
        <f>D90*1000/D80</f>
        <v>6.6538461538461542</v>
      </c>
      <c r="O89" s="255" t="s">
        <v>850</v>
      </c>
      <c r="P89" s="259">
        <f>1000*(D90-D101)/D80</f>
        <v>6.5769230769230766</v>
      </c>
    </row>
    <row r="90" spans="1:16" ht="30" x14ac:dyDescent="0.25">
      <c r="A90" s="139" t="s">
        <v>70</v>
      </c>
      <c r="B90" s="32" t="s">
        <v>71</v>
      </c>
      <c r="C90" s="32" t="s">
        <v>72</v>
      </c>
      <c r="D90" s="250">
        <f>D85+D86+D87-D88-D89</f>
        <v>1730</v>
      </c>
      <c r="E90" s="14"/>
      <c r="F90" s="41" t="s">
        <v>77</v>
      </c>
      <c r="G90" s="2" t="s">
        <v>576</v>
      </c>
      <c r="H90" s="2" t="s">
        <v>545</v>
      </c>
      <c r="I90" s="164">
        <f>D109+D117*D95/D99</f>
        <v>6.2629482071713145</v>
      </c>
      <c r="K90" s="211" t="s">
        <v>840</v>
      </c>
      <c r="L90" s="216" t="s">
        <v>253</v>
      </c>
      <c r="M90" s="148" t="s">
        <v>160</v>
      </c>
      <c r="N90" s="260">
        <f>I113*1000/D71</f>
        <v>1.4837008491483625</v>
      </c>
      <c r="O90" s="148" t="s">
        <v>851</v>
      </c>
      <c r="P90" s="261">
        <f>1000*((D113+I85+D92+I86)/D71)</f>
        <v>1.4588047808764941</v>
      </c>
    </row>
    <row r="91" spans="1:16" ht="30" x14ac:dyDescent="0.25">
      <c r="A91" s="138"/>
      <c r="B91" s="23" t="s">
        <v>74</v>
      </c>
      <c r="C91" s="23" t="s">
        <v>525</v>
      </c>
      <c r="D91" s="49">
        <v>100</v>
      </c>
      <c r="F91" s="41" t="s">
        <v>80</v>
      </c>
      <c r="G91" s="2" t="s">
        <v>636</v>
      </c>
      <c r="H91" s="2" t="s">
        <v>637</v>
      </c>
      <c r="I91" s="164">
        <f>D110+D117*D96/D99</f>
        <v>41.314741035856571</v>
      </c>
      <c r="K91" s="211" t="s">
        <v>866</v>
      </c>
      <c r="L91" s="216" t="s">
        <v>253</v>
      </c>
      <c r="M91" s="148" t="s">
        <v>161</v>
      </c>
      <c r="N91" s="260" t="str">
        <f>IFERROR(1000*I116/D74,"-")</f>
        <v>-</v>
      </c>
      <c r="O91" s="148" t="s">
        <v>852</v>
      </c>
      <c r="P91" s="261" t="str">
        <f>IFERROR(1000*((D93+I87)/D74),"-")</f>
        <v>-</v>
      </c>
    </row>
    <row r="92" spans="1:16" ht="30" x14ac:dyDescent="0.25">
      <c r="A92" s="138"/>
      <c r="B92" s="23" t="s">
        <v>873</v>
      </c>
      <c r="C92" s="23" t="s">
        <v>76</v>
      </c>
      <c r="D92" s="49">
        <v>150</v>
      </c>
      <c r="F92" s="41" t="s">
        <v>83</v>
      </c>
      <c r="G92" s="2" t="s">
        <v>81</v>
      </c>
      <c r="H92" s="106" t="s">
        <v>82</v>
      </c>
      <c r="I92" s="42">
        <f>D111+$D$117*D97/$D$99</f>
        <v>5.1314741035856573</v>
      </c>
      <c r="K92" s="210" t="s">
        <v>874</v>
      </c>
      <c r="L92" s="215" t="s">
        <v>253</v>
      </c>
      <c r="M92" s="255" t="s">
        <v>162</v>
      </c>
      <c r="N92" s="262" t="str">
        <f>IFERROR(1000*(I113/D71+I116/D74),"-")</f>
        <v>-</v>
      </c>
      <c r="O92" s="255" t="s">
        <v>853</v>
      </c>
      <c r="P92" s="263" t="str">
        <f>IFERROR(P90+P91,"-")</f>
        <v>-</v>
      </c>
    </row>
    <row r="93" spans="1:16" ht="30" x14ac:dyDescent="0.25">
      <c r="A93" s="23"/>
      <c r="B93" s="23" t="s">
        <v>78</v>
      </c>
      <c r="C93" s="23" t="s">
        <v>79</v>
      </c>
      <c r="D93" s="49">
        <v>100</v>
      </c>
      <c r="F93" s="50" t="s">
        <v>90</v>
      </c>
      <c r="G93" s="3" t="s">
        <v>84</v>
      </c>
      <c r="H93" s="105" t="s">
        <v>85</v>
      </c>
      <c r="I93" s="43">
        <f>D112+$D$117*D98/$D$99</f>
        <v>197.88844621513945</v>
      </c>
      <c r="K93" s="211" t="s">
        <v>842</v>
      </c>
      <c r="L93" s="216" t="s">
        <v>253</v>
      </c>
      <c r="M93" s="148" t="s">
        <v>163</v>
      </c>
      <c r="N93" s="260">
        <f>1000*I114/D72</f>
        <v>9.948698707827095</v>
      </c>
      <c r="O93" s="148" t="s">
        <v>854</v>
      </c>
      <c r="P93" s="261">
        <f>1000*((D114+I88+D94+I89)/D72)</f>
        <v>9.8775564409030547</v>
      </c>
    </row>
    <row r="94" spans="1:16" x14ac:dyDescent="0.25">
      <c r="A94" s="23"/>
      <c r="B94" s="23" t="s">
        <v>872</v>
      </c>
      <c r="C94" s="23" t="s">
        <v>546</v>
      </c>
      <c r="D94" s="49">
        <v>175</v>
      </c>
      <c r="K94" s="211" t="s">
        <v>867</v>
      </c>
      <c r="L94" s="216" t="s">
        <v>253</v>
      </c>
      <c r="M94" s="148" t="s">
        <v>642</v>
      </c>
      <c r="N94" s="260" t="str">
        <f>IFERROR(1000*I117/D75,"-")</f>
        <v>-</v>
      </c>
      <c r="O94" s="148" t="s">
        <v>855</v>
      </c>
      <c r="P94" s="261" t="str">
        <f>IFERROR(1000*((D95+I90)/D75),"-")</f>
        <v>-</v>
      </c>
    </row>
    <row r="95" spans="1:16" ht="30" x14ac:dyDescent="0.25">
      <c r="A95" s="23"/>
      <c r="B95" s="23" t="s">
        <v>577</v>
      </c>
      <c r="C95" s="23" t="s">
        <v>547</v>
      </c>
      <c r="D95" s="49">
        <v>20</v>
      </c>
      <c r="F95" s="39" t="s">
        <v>36</v>
      </c>
      <c r="G95" s="27" t="s">
        <v>37</v>
      </c>
      <c r="H95" s="27" t="s">
        <v>10</v>
      </c>
      <c r="I95" s="40" t="s">
        <v>59</v>
      </c>
      <c r="K95" s="264" t="s">
        <v>843</v>
      </c>
      <c r="L95" s="215" t="s">
        <v>253</v>
      </c>
      <c r="M95" s="255" t="s">
        <v>643</v>
      </c>
      <c r="N95" s="265" t="str">
        <f>IFERROR(1000*(I114/D72+I117/D75),"-")</f>
        <v>-</v>
      </c>
      <c r="O95" s="255" t="s">
        <v>856</v>
      </c>
      <c r="P95" s="266" t="str">
        <f>IFERROR(P93+P94,"-")</f>
        <v>-</v>
      </c>
    </row>
    <row r="96" spans="1:16" x14ac:dyDescent="0.25">
      <c r="A96" s="23"/>
      <c r="B96" s="23" t="s">
        <v>632</v>
      </c>
      <c r="C96" s="23" t="s">
        <v>633</v>
      </c>
      <c r="D96" s="49">
        <v>100</v>
      </c>
      <c r="F96" s="47" t="s">
        <v>95</v>
      </c>
      <c r="G96" s="20" t="s">
        <v>91</v>
      </c>
      <c r="H96" s="20" t="s">
        <v>511</v>
      </c>
      <c r="I96" s="44">
        <f>D101*I150/D141</f>
        <v>0.43425784821700703</v>
      </c>
      <c r="K96" s="212" t="s">
        <v>844</v>
      </c>
      <c r="L96" s="217" t="s">
        <v>253</v>
      </c>
      <c r="M96" s="267" t="s">
        <v>644</v>
      </c>
      <c r="N96" s="219">
        <f>1000*I115/D73</f>
        <v>4.7874191337869085</v>
      </c>
      <c r="O96" s="267" t="s">
        <v>857</v>
      </c>
      <c r="P96" s="268">
        <f>1000*(D96+I91)/D73</f>
        <v>4.710491367861886</v>
      </c>
    </row>
    <row r="97" spans="1:16" ht="30" x14ac:dyDescent="0.25">
      <c r="A97" s="248"/>
      <c r="B97" s="23" t="s">
        <v>86</v>
      </c>
      <c r="C97" s="23" t="s">
        <v>87</v>
      </c>
      <c r="D97" s="104">
        <v>10</v>
      </c>
      <c r="E97" s="13"/>
      <c r="F97" s="41" t="s">
        <v>98</v>
      </c>
      <c r="G97" s="2" t="s">
        <v>863</v>
      </c>
      <c r="H97" s="2" t="s">
        <v>512</v>
      </c>
      <c r="I97" s="42">
        <f>D101*I152/D141</f>
        <v>4.5449558061566586</v>
      </c>
      <c r="K97" s="211" t="s">
        <v>845</v>
      </c>
      <c r="L97" s="216" t="s">
        <v>707</v>
      </c>
      <c r="M97" s="148" t="s">
        <v>645</v>
      </c>
      <c r="N97" s="269">
        <f>1000*I119/D78</f>
        <v>3.0976640861899583</v>
      </c>
      <c r="O97" s="148" t="s">
        <v>868</v>
      </c>
      <c r="P97" s="270">
        <f>1000*(D98+I93)/D78</f>
        <v>3.0688017162120751</v>
      </c>
    </row>
    <row r="98" spans="1:16" ht="30" x14ac:dyDescent="0.25">
      <c r="A98" s="248"/>
      <c r="B98" s="23" t="s">
        <v>88</v>
      </c>
      <c r="C98" s="23" t="s">
        <v>89</v>
      </c>
      <c r="D98" s="104">
        <v>600</v>
      </c>
      <c r="E98" s="13"/>
      <c r="F98" s="41" t="s">
        <v>102</v>
      </c>
      <c r="G98" s="2" t="s">
        <v>99</v>
      </c>
      <c r="H98" s="2" t="s">
        <v>513</v>
      </c>
      <c r="I98" s="42">
        <f>D101*I159/D141</f>
        <v>2.8334857258965762</v>
      </c>
      <c r="K98" s="210" t="s">
        <v>846</v>
      </c>
      <c r="L98" s="215" t="s">
        <v>707</v>
      </c>
      <c r="M98" s="255" t="s">
        <v>693</v>
      </c>
      <c r="N98" s="265" t="str">
        <f>IFERROR(1000*(I118/D76+I119/D78),"-")</f>
        <v>-</v>
      </c>
      <c r="O98" s="255" t="s">
        <v>869</v>
      </c>
      <c r="P98" s="266" t="str">
        <f>IFERROR(1000*((D97+I92)/D76+(D98+I93)/D78),"-")</f>
        <v>-</v>
      </c>
    </row>
    <row r="99" spans="1:16" ht="30" x14ac:dyDescent="0.25">
      <c r="A99" s="138" t="s">
        <v>92</v>
      </c>
      <c r="B99" s="34" t="s">
        <v>93</v>
      </c>
      <c r="C99" s="34" t="s">
        <v>94</v>
      </c>
      <c r="D99" s="55">
        <f>SUM(D91:D98)</f>
        <v>1255</v>
      </c>
      <c r="E99" s="13"/>
      <c r="F99" s="41" t="s">
        <v>104</v>
      </c>
      <c r="G99" s="2" t="s">
        <v>578</v>
      </c>
      <c r="H99" s="2" t="s">
        <v>526</v>
      </c>
      <c r="I99" s="42">
        <f>D101*I151/D141</f>
        <v>0.28950523214467133</v>
      </c>
      <c r="K99" s="212" t="s">
        <v>847</v>
      </c>
      <c r="L99" s="217" t="s">
        <v>707</v>
      </c>
      <c r="M99" s="267" t="s">
        <v>848</v>
      </c>
      <c r="N99" s="219">
        <f>N96+N97</f>
        <v>7.8850832199768668</v>
      </c>
      <c r="O99" s="267" t="s">
        <v>870</v>
      </c>
      <c r="P99" s="268">
        <f>P96+P97</f>
        <v>7.7792930840739611</v>
      </c>
    </row>
    <row r="100" spans="1:16" ht="45.75" thickBot="1" x14ac:dyDescent="0.3">
      <c r="A100" s="138"/>
      <c r="B100" s="23" t="s">
        <v>96</v>
      </c>
      <c r="C100" s="79" t="s">
        <v>97</v>
      </c>
      <c r="D100" s="49">
        <v>70</v>
      </c>
      <c r="E100" s="13"/>
      <c r="F100" s="41" t="s">
        <v>107</v>
      </c>
      <c r="G100" s="2" t="s">
        <v>862</v>
      </c>
      <c r="H100" s="2" t="s">
        <v>579</v>
      </c>
      <c r="I100" s="42">
        <f>D101*I153/D141</f>
        <v>1.8447627755765517</v>
      </c>
      <c r="K100" s="213" t="s">
        <v>164</v>
      </c>
      <c r="L100" s="271" t="s">
        <v>19</v>
      </c>
      <c r="M100" s="272" t="s">
        <v>849</v>
      </c>
      <c r="N100" s="273">
        <f>(D86+D87)/D90</f>
        <v>0.17341040462427745</v>
      </c>
      <c r="O100" s="272" t="s">
        <v>871</v>
      </c>
      <c r="P100" s="274">
        <f>(D86+D87)/(D90-D101)</f>
        <v>0.17543859649122806</v>
      </c>
    </row>
    <row r="101" spans="1:16" ht="30" x14ac:dyDescent="0.25">
      <c r="A101" s="139"/>
      <c r="B101" s="136" t="s">
        <v>100</v>
      </c>
      <c r="C101" s="32" t="s">
        <v>101</v>
      </c>
      <c r="D101" s="53">
        <v>20</v>
      </c>
      <c r="E101" s="13"/>
      <c r="F101" s="41" t="s">
        <v>111</v>
      </c>
      <c r="G101" s="2" t="s">
        <v>580</v>
      </c>
      <c r="H101" s="2" t="s">
        <v>581</v>
      </c>
      <c r="I101" s="164">
        <f>D101*I160/D141</f>
        <v>8.948491313623895E-2</v>
      </c>
    </row>
    <row r="102" spans="1:16" x14ac:dyDescent="0.25">
      <c r="A102" s="139" t="s">
        <v>103</v>
      </c>
      <c r="B102" s="32" t="s">
        <v>623</v>
      </c>
      <c r="C102" s="32" t="s">
        <v>624</v>
      </c>
      <c r="D102" s="51">
        <f>D99+D100+D101</f>
        <v>1345</v>
      </c>
      <c r="F102" s="41" t="s">
        <v>115</v>
      </c>
      <c r="G102" s="2" t="s">
        <v>638</v>
      </c>
      <c r="H102" s="2" t="s">
        <v>639</v>
      </c>
      <c r="I102" s="42">
        <f>D101*I158/D141</f>
        <v>2.3078329777506856</v>
      </c>
    </row>
    <row r="103" spans="1:16" ht="30" x14ac:dyDescent="0.25">
      <c r="A103" s="249" t="s">
        <v>105</v>
      </c>
      <c r="B103" s="163" t="s">
        <v>106</v>
      </c>
      <c r="C103" s="163" t="s">
        <v>705</v>
      </c>
      <c r="D103" s="75">
        <f>D90-D102</f>
        <v>385</v>
      </c>
      <c r="F103" s="41" t="s">
        <v>120</v>
      </c>
      <c r="G103" s="2" t="s">
        <v>112</v>
      </c>
      <c r="H103" s="2" t="s">
        <v>514</v>
      </c>
      <c r="I103" s="42">
        <f>D101*I161/D141</f>
        <v>0.15149852687188867</v>
      </c>
    </row>
    <row r="104" spans="1:16" x14ac:dyDescent="0.25">
      <c r="A104" s="249" t="s">
        <v>108</v>
      </c>
      <c r="B104" s="163" t="s">
        <v>109</v>
      </c>
      <c r="C104" s="163" t="s">
        <v>110</v>
      </c>
      <c r="D104" s="75">
        <f>D100+D103</f>
        <v>455</v>
      </c>
      <c r="F104" s="50" t="s">
        <v>123</v>
      </c>
      <c r="G104" s="3" t="s">
        <v>116</v>
      </c>
      <c r="H104" s="3" t="s">
        <v>515</v>
      </c>
      <c r="I104" s="43">
        <f>D101*I162/D141</f>
        <v>7.5042161942497208</v>
      </c>
    </row>
    <row r="105" spans="1:16" ht="30" x14ac:dyDescent="0.25">
      <c r="A105" s="138"/>
      <c r="B105" s="23" t="s">
        <v>113</v>
      </c>
      <c r="C105" s="23" t="s">
        <v>114</v>
      </c>
      <c r="D105" s="54">
        <v>10</v>
      </c>
      <c r="E105" s="14"/>
    </row>
    <row r="106" spans="1:16" ht="45" x14ac:dyDescent="0.25">
      <c r="A106" s="138"/>
      <c r="B106" s="23" t="s">
        <v>858</v>
      </c>
      <c r="C106" s="23" t="s">
        <v>117</v>
      </c>
      <c r="D106" s="54">
        <v>10</v>
      </c>
      <c r="E106" s="14"/>
      <c r="F106" s="39" t="s">
        <v>36</v>
      </c>
      <c r="G106" s="27" t="s">
        <v>37</v>
      </c>
      <c r="H106" s="27" t="s">
        <v>10</v>
      </c>
      <c r="I106" s="40" t="s">
        <v>59</v>
      </c>
    </row>
    <row r="107" spans="1:16" ht="30" x14ac:dyDescent="0.25">
      <c r="A107" s="23"/>
      <c r="B107" s="23" t="s">
        <v>118</v>
      </c>
      <c r="C107" s="23" t="s">
        <v>119</v>
      </c>
      <c r="D107" s="54">
        <v>10</v>
      </c>
      <c r="E107" s="14"/>
      <c r="F107" s="47" t="s">
        <v>126</v>
      </c>
      <c r="G107" s="20" t="s">
        <v>121</v>
      </c>
      <c r="H107" s="20" t="s">
        <v>122</v>
      </c>
      <c r="I107" s="107">
        <f>D113+I85+I96</f>
        <v>85.223102469730946</v>
      </c>
    </row>
    <row r="108" spans="1:16" ht="45" x14ac:dyDescent="0.25">
      <c r="A108" s="23"/>
      <c r="B108" s="23" t="s">
        <v>859</v>
      </c>
      <c r="C108" s="23" t="s">
        <v>548</v>
      </c>
      <c r="D108" s="54">
        <v>10</v>
      </c>
      <c r="E108" s="14"/>
      <c r="F108" s="41" t="s">
        <v>130</v>
      </c>
      <c r="G108" s="2" t="s">
        <v>583</v>
      </c>
      <c r="H108" s="2" t="s">
        <v>527</v>
      </c>
      <c r="I108" s="45">
        <f>D114+I88+I99</f>
        <v>56.815401646487295</v>
      </c>
    </row>
    <row r="109" spans="1:16" ht="30" x14ac:dyDescent="0.25">
      <c r="A109" s="23"/>
      <c r="B109" s="23" t="s">
        <v>582</v>
      </c>
      <c r="C109" s="23" t="s">
        <v>549</v>
      </c>
      <c r="D109" s="54">
        <v>0</v>
      </c>
      <c r="E109" s="14"/>
      <c r="F109" s="41" t="s">
        <v>137</v>
      </c>
      <c r="G109" s="2" t="s">
        <v>864</v>
      </c>
      <c r="H109" s="2" t="s">
        <v>127</v>
      </c>
      <c r="I109" s="45">
        <f>D92+I86+I97</f>
        <v>211.51706735994151</v>
      </c>
    </row>
    <row r="110" spans="1:16" ht="30" x14ac:dyDescent="0.25">
      <c r="B110" s="2" t="s">
        <v>634</v>
      </c>
      <c r="C110" s="2" t="s">
        <v>635</v>
      </c>
      <c r="D110" s="54">
        <v>10</v>
      </c>
      <c r="E110" s="14"/>
      <c r="F110" s="50" t="s">
        <v>141</v>
      </c>
      <c r="G110" s="3" t="s">
        <v>865</v>
      </c>
      <c r="H110" s="3" t="s">
        <v>550</v>
      </c>
      <c r="I110" s="46">
        <f>D94+I89+I100</f>
        <v>241.64555958832557</v>
      </c>
    </row>
    <row r="111" spans="1:16" ht="30" x14ac:dyDescent="0.25">
      <c r="A111" s="26"/>
      <c r="B111" s="2" t="s">
        <v>124</v>
      </c>
      <c r="C111" s="2" t="s">
        <v>125</v>
      </c>
      <c r="D111" s="56">
        <v>2</v>
      </c>
      <c r="E111" s="14"/>
    </row>
    <row r="112" spans="1:16" ht="30" x14ac:dyDescent="0.25">
      <c r="A112" s="80"/>
      <c r="B112" s="3" t="s">
        <v>128</v>
      </c>
      <c r="C112" s="3" t="s">
        <v>129</v>
      </c>
      <c r="D112" s="112">
        <v>10</v>
      </c>
      <c r="E112" s="14"/>
      <c r="F112" s="39" t="s">
        <v>36</v>
      </c>
      <c r="G112" s="27" t="s">
        <v>37</v>
      </c>
      <c r="H112" s="27" t="s">
        <v>10</v>
      </c>
      <c r="I112" s="40" t="s">
        <v>59</v>
      </c>
    </row>
    <row r="113" spans="1:16" x14ac:dyDescent="0.25">
      <c r="A113" s="41" t="s">
        <v>131</v>
      </c>
      <c r="B113" s="30" t="s">
        <v>132</v>
      </c>
      <c r="C113" s="30" t="s">
        <v>133</v>
      </c>
      <c r="D113" s="57">
        <f>D91*D67/D69</f>
        <v>60</v>
      </c>
      <c r="E113" s="14"/>
      <c r="F113" s="47" t="s">
        <v>145</v>
      </c>
      <c r="G113" s="20" t="s">
        <v>138</v>
      </c>
      <c r="H113" s="108" t="s">
        <v>139</v>
      </c>
      <c r="I113" s="107">
        <f>I107+I109</f>
        <v>296.74016982967248</v>
      </c>
    </row>
    <row r="114" spans="1:16" x14ac:dyDescent="0.25">
      <c r="A114" s="50" t="s">
        <v>134</v>
      </c>
      <c r="B114" s="31" t="s">
        <v>584</v>
      </c>
      <c r="C114" s="31" t="s">
        <v>528</v>
      </c>
      <c r="D114" s="51">
        <f>D91*D68/D69</f>
        <v>40</v>
      </c>
      <c r="E114" s="14"/>
      <c r="F114" s="41" t="s">
        <v>148</v>
      </c>
      <c r="G114" s="2" t="s">
        <v>586</v>
      </c>
      <c r="H114" s="74" t="s">
        <v>551</v>
      </c>
      <c r="I114" s="45">
        <f>I108+I110</f>
        <v>298.46096123481288</v>
      </c>
    </row>
    <row r="115" spans="1:16" x14ac:dyDescent="0.25">
      <c r="A115" s="41" t="s">
        <v>135</v>
      </c>
      <c r="B115" s="30" t="s">
        <v>136</v>
      </c>
      <c r="C115" s="30" t="s">
        <v>882</v>
      </c>
      <c r="D115" s="57">
        <f>D105*D67/D69</f>
        <v>6</v>
      </c>
      <c r="E115" s="14"/>
      <c r="F115" s="41" t="s">
        <v>149</v>
      </c>
      <c r="G115" s="2" t="s">
        <v>640</v>
      </c>
      <c r="H115" s="74" t="s">
        <v>641</v>
      </c>
      <c r="I115" s="45">
        <f>D96+I91+I102</f>
        <v>143.62257401360725</v>
      </c>
    </row>
    <row r="116" spans="1:16" ht="30" x14ac:dyDescent="0.25">
      <c r="A116" s="50" t="s">
        <v>140</v>
      </c>
      <c r="B116" s="31" t="s">
        <v>585</v>
      </c>
      <c r="C116" s="31" t="s">
        <v>883</v>
      </c>
      <c r="D116" s="51">
        <f>D105*D68/D69</f>
        <v>4</v>
      </c>
      <c r="E116" s="14"/>
      <c r="F116" s="41" t="s">
        <v>152</v>
      </c>
      <c r="G116" s="2" t="s">
        <v>146</v>
      </c>
      <c r="H116" s="2" t="s">
        <v>147</v>
      </c>
      <c r="I116" s="45">
        <f>D93+I87+I98</f>
        <v>144.14822676175314</v>
      </c>
    </row>
    <row r="117" spans="1:16" ht="30" x14ac:dyDescent="0.25">
      <c r="A117" s="50" t="s">
        <v>142</v>
      </c>
      <c r="B117" s="31" t="s">
        <v>143</v>
      </c>
      <c r="C117" s="31" t="s">
        <v>144</v>
      </c>
      <c r="D117" s="52">
        <f>D104-D105-SUM(D106:D112)</f>
        <v>393</v>
      </c>
      <c r="E117" s="14"/>
      <c r="F117" s="41" t="s">
        <v>156</v>
      </c>
      <c r="G117" s="2" t="s">
        <v>587</v>
      </c>
      <c r="H117" s="2" t="s">
        <v>569</v>
      </c>
      <c r="I117" s="42">
        <f>D95+I90+I101</f>
        <v>26.352433120307552</v>
      </c>
    </row>
    <row r="118" spans="1:16" x14ac:dyDescent="0.25">
      <c r="E118" s="14"/>
      <c r="F118" s="41" t="s">
        <v>157</v>
      </c>
      <c r="G118" s="2" t="s">
        <v>150</v>
      </c>
      <c r="H118" s="2" t="s">
        <v>151</v>
      </c>
      <c r="I118" s="45">
        <f>D97+I92+I103</f>
        <v>15.282972630457545</v>
      </c>
    </row>
    <row r="119" spans="1:16" x14ac:dyDescent="0.25">
      <c r="E119" s="14"/>
      <c r="F119" s="50" t="s">
        <v>158</v>
      </c>
      <c r="G119" s="3" t="s">
        <v>153</v>
      </c>
      <c r="H119" s="3" t="s">
        <v>154</v>
      </c>
      <c r="I119" s="46">
        <f>D98+I93+I104</f>
        <v>805.39266240938912</v>
      </c>
    </row>
    <row r="120" spans="1:16" x14ac:dyDescent="0.25">
      <c r="E120" s="14"/>
    </row>
    <row r="121" spans="1:16" x14ac:dyDescent="0.25">
      <c r="A121" s="6"/>
      <c r="B121" s="6"/>
      <c r="C121" s="6"/>
      <c r="D121" s="15"/>
      <c r="E121" s="16"/>
      <c r="F121" s="6"/>
      <c r="G121" s="6"/>
      <c r="H121" s="7"/>
      <c r="I121" s="7"/>
      <c r="J121" s="6"/>
      <c r="K121" s="6"/>
      <c r="L121" s="6"/>
      <c r="M121" s="6"/>
      <c r="N121" s="6"/>
      <c r="O121" s="6"/>
      <c r="P121" s="6"/>
    </row>
    <row r="122" spans="1:16" ht="32.25" thickBot="1" x14ac:dyDescent="0.4">
      <c r="A122" s="275" t="s">
        <v>165</v>
      </c>
      <c r="B122" s="23"/>
      <c r="C122" s="276" t="s">
        <v>748</v>
      </c>
    </row>
    <row r="123" spans="1:16" ht="21" x14ac:dyDescent="0.35">
      <c r="A123" s="277" t="s">
        <v>36</v>
      </c>
      <c r="B123" s="278" t="s">
        <v>37</v>
      </c>
      <c r="C123" s="278" t="s">
        <v>10</v>
      </c>
      <c r="D123" s="40" t="s">
        <v>59</v>
      </c>
      <c r="F123" s="39" t="s">
        <v>36</v>
      </c>
      <c r="G123" s="27" t="s">
        <v>37</v>
      </c>
      <c r="H123" s="27" t="s">
        <v>10</v>
      </c>
      <c r="I123" s="40" t="s">
        <v>59</v>
      </c>
      <c r="K123" s="284" t="s">
        <v>155</v>
      </c>
      <c r="L123" s="285"/>
      <c r="M123" s="285"/>
      <c r="N123" s="285"/>
      <c r="O123" s="285"/>
      <c r="P123" s="286"/>
    </row>
    <row r="124" spans="1:16" ht="30" x14ac:dyDescent="0.25">
      <c r="A124" s="137"/>
      <c r="B124" s="113" t="s">
        <v>166</v>
      </c>
      <c r="C124" s="113" t="s">
        <v>729</v>
      </c>
      <c r="D124" s="48">
        <v>1800</v>
      </c>
      <c r="F124" s="137" t="s">
        <v>307</v>
      </c>
      <c r="G124" s="225" t="s">
        <v>292</v>
      </c>
      <c r="H124" s="225" t="s">
        <v>293</v>
      </c>
      <c r="I124" s="109">
        <f>D153+D154+D156+D173</f>
        <v>179</v>
      </c>
      <c r="K124" s="331" t="s">
        <v>943</v>
      </c>
      <c r="L124" s="154"/>
      <c r="M124" s="23"/>
      <c r="N124" s="23"/>
      <c r="O124" s="23"/>
      <c r="P124" s="293"/>
    </row>
    <row r="125" spans="1:16" ht="45" x14ac:dyDescent="0.25">
      <c r="A125" s="138"/>
      <c r="B125" s="23" t="s">
        <v>170</v>
      </c>
      <c r="C125" s="23" t="s">
        <v>730</v>
      </c>
      <c r="D125" s="49">
        <v>500</v>
      </c>
      <c r="F125" s="41"/>
      <c r="G125" s="2" t="s">
        <v>294</v>
      </c>
      <c r="H125" s="2" t="s">
        <v>295</v>
      </c>
      <c r="I125" s="62">
        <v>30</v>
      </c>
      <c r="K125" s="330" t="s">
        <v>944</v>
      </c>
      <c r="L125" s="155"/>
      <c r="M125" s="136"/>
      <c r="N125" s="136"/>
      <c r="O125" s="136"/>
      <c r="P125" s="251"/>
    </row>
    <row r="126" spans="1:16" ht="45" x14ac:dyDescent="0.25">
      <c r="A126" s="248"/>
      <c r="B126" s="23" t="s">
        <v>174</v>
      </c>
      <c r="C126" s="23" t="s">
        <v>175</v>
      </c>
      <c r="D126" s="49">
        <v>30</v>
      </c>
      <c r="F126" s="41"/>
      <c r="G126" s="2" t="s">
        <v>296</v>
      </c>
      <c r="H126" s="2" t="s">
        <v>297</v>
      </c>
      <c r="I126" s="62">
        <v>10</v>
      </c>
      <c r="K126" s="228"/>
      <c r="L126" s="287"/>
      <c r="M126" s="148" t="s">
        <v>892</v>
      </c>
      <c r="N126" s="222" t="s">
        <v>892</v>
      </c>
      <c r="O126" s="148" t="s">
        <v>893</v>
      </c>
      <c r="P126" s="209" t="s">
        <v>893</v>
      </c>
    </row>
    <row r="127" spans="1:16" ht="45" x14ac:dyDescent="0.25">
      <c r="A127" s="138"/>
      <c r="B127" s="23" t="s">
        <v>179</v>
      </c>
      <c r="C127" s="23" t="s">
        <v>180</v>
      </c>
      <c r="D127" s="49">
        <v>5</v>
      </c>
      <c r="F127" s="21"/>
      <c r="G127" s="2" t="s">
        <v>298</v>
      </c>
      <c r="H127" s="2" t="s">
        <v>299</v>
      </c>
      <c r="I127" s="62">
        <v>10</v>
      </c>
      <c r="K127" s="288" t="s">
        <v>836</v>
      </c>
      <c r="L127" s="215" t="s">
        <v>683</v>
      </c>
      <c r="M127" s="255" t="s">
        <v>36</v>
      </c>
      <c r="N127" s="256" t="s">
        <v>11</v>
      </c>
      <c r="O127" s="255" t="s">
        <v>36</v>
      </c>
      <c r="P127" s="257" t="s">
        <v>11</v>
      </c>
    </row>
    <row r="128" spans="1:16" ht="45" x14ac:dyDescent="0.25">
      <c r="A128" s="138"/>
      <c r="B128" s="23" t="s">
        <v>182</v>
      </c>
      <c r="C128" s="23" t="s">
        <v>183</v>
      </c>
      <c r="D128" s="49">
        <v>10</v>
      </c>
      <c r="F128" s="41"/>
      <c r="G128" s="74" t="s">
        <v>604</v>
      </c>
      <c r="H128" s="2" t="s">
        <v>559</v>
      </c>
      <c r="I128" s="62">
        <v>10</v>
      </c>
      <c r="K128" s="289" t="s">
        <v>839</v>
      </c>
      <c r="L128" s="217" t="s">
        <v>706</v>
      </c>
      <c r="M128" s="267" t="s">
        <v>264</v>
      </c>
      <c r="N128" s="290">
        <f>D141*1000/D80</f>
        <v>8.907692307692308</v>
      </c>
      <c r="O128" s="267" t="s">
        <v>694</v>
      </c>
      <c r="P128" s="291">
        <f>1000*(D141-(D131-D135))/D80</f>
        <v>8.3692307692307697</v>
      </c>
    </row>
    <row r="129" spans="1:16" ht="45" x14ac:dyDescent="0.25">
      <c r="A129" s="138"/>
      <c r="B129" s="23" t="s">
        <v>185</v>
      </c>
      <c r="C129" s="23" t="s">
        <v>186</v>
      </c>
      <c r="D129" s="49">
        <v>1</v>
      </c>
      <c r="F129" s="41"/>
      <c r="G129" s="74" t="s">
        <v>605</v>
      </c>
      <c r="H129" s="2" t="s">
        <v>560</v>
      </c>
      <c r="I129" s="62">
        <v>0</v>
      </c>
      <c r="K129" s="228" t="s">
        <v>840</v>
      </c>
      <c r="L129" s="216" t="s">
        <v>253</v>
      </c>
      <c r="M129" s="148" t="s">
        <v>273</v>
      </c>
      <c r="N129" s="292">
        <f>I156*1000/D71</f>
        <v>2.8829647058823524</v>
      </c>
      <c r="O129" s="23"/>
      <c r="P129" s="293"/>
    </row>
    <row r="130" spans="1:16" ht="45" x14ac:dyDescent="0.25">
      <c r="A130" s="139" t="s">
        <v>188</v>
      </c>
      <c r="B130" s="32" t="s">
        <v>189</v>
      </c>
      <c r="C130" s="32" t="s">
        <v>902</v>
      </c>
      <c r="D130" s="52">
        <f>SUM(D124:D129)</f>
        <v>2346</v>
      </c>
      <c r="F130" s="41"/>
      <c r="G130" s="74" t="s">
        <v>652</v>
      </c>
      <c r="H130" s="2" t="s">
        <v>653</v>
      </c>
      <c r="I130" s="62">
        <v>10</v>
      </c>
      <c r="K130" s="228" t="s">
        <v>875</v>
      </c>
      <c r="L130" s="216" t="s">
        <v>253</v>
      </c>
      <c r="M130" s="148" t="s">
        <v>274</v>
      </c>
      <c r="N130" s="260" t="str">
        <f>IFERROR(1000*I159/D74,"-")</f>
        <v>-</v>
      </c>
      <c r="O130" s="23"/>
      <c r="P130" s="293"/>
    </row>
    <row r="131" spans="1:16" ht="45" x14ac:dyDescent="0.25">
      <c r="A131" s="138"/>
      <c r="B131" s="279" t="s">
        <v>193</v>
      </c>
      <c r="C131" s="23" t="s">
        <v>946</v>
      </c>
      <c r="D131" s="49">
        <v>150</v>
      </c>
      <c r="F131" s="41"/>
      <c r="G131" s="2" t="s">
        <v>300</v>
      </c>
      <c r="H131" s="2" t="s">
        <v>301</v>
      </c>
      <c r="I131" s="49">
        <v>2</v>
      </c>
      <c r="K131" s="294" t="s">
        <v>874</v>
      </c>
      <c r="L131" s="215" t="s">
        <v>253</v>
      </c>
      <c r="M131" s="255" t="s">
        <v>281</v>
      </c>
      <c r="N131" s="262" t="str">
        <f>IFERROR(1000*(I156/D71+I159/D74),"-")</f>
        <v>-</v>
      </c>
      <c r="O131" s="136"/>
      <c r="P131" s="251"/>
    </row>
    <row r="132" spans="1:16" ht="45" x14ac:dyDescent="0.25">
      <c r="A132" s="139" t="s">
        <v>197</v>
      </c>
      <c r="B132" s="32" t="s">
        <v>198</v>
      </c>
      <c r="C132" s="32" t="s">
        <v>199</v>
      </c>
      <c r="D132" s="52">
        <f>D130+D131</f>
        <v>2496</v>
      </c>
      <c r="F132" s="50"/>
      <c r="G132" s="3" t="s">
        <v>302</v>
      </c>
      <c r="H132" s="3" t="s">
        <v>303</v>
      </c>
      <c r="I132" s="53">
        <v>30</v>
      </c>
      <c r="K132" s="228" t="s">
        <v>842</v>
      </c>
      <c r="L132" s="216" t="s">
        <v>253</v>
      </c>
      <c r="M132" s="148" t="s">
        <v>517</v>
      </c>
      <c r="N132" s="292">
        <f>I157*1000/D72</f>
        <v>8.2382745098039223</v>
      </c>
      <c r="O132" s="148" t="s">
        <v>876</v>
      </c>
      <c r="P132" s="295">
        <f>(I157-(D131-D135))*1000/D72</f>
        <v>3.5716078431372549</v>
      </c>
    </row>
    <row r="133" spans="1:16" ht="30" x14ac:dyDescent="0.25">
      <c r="A133" s="138"/>
      <c r="B133" s="23" t="s">
        <v>201</v>
      </c>
      <c r="C133" s="23" t="s">
        <v>202</v>
      </c>
      <c r="D133" s="49">
        <v>5</v>
      </c>
      <c r="F133" s="41" t="s">
        <v>308</v>
      </c>
      <c r="G133" s="30" t="s">
        <v>309</v>
      </c>
      <c r="H133" s="2" t="s">
        <v>516</v>
      </c>
      <c r="I133" s="55">
        <f>I125*D67/D69</f>
        <v>18</v>
      </c>
      <c r="K133" s="228" t="s">
        <v>884</v>
      </c>
      <c r="L133" s="216" t="s">
        <v>253</v>
      </c>
      <c r="M133" s="148" t="s">
        <v>286</v>
      </c>
      <c r="N133" s="260" t="str">
        <f>IFERROR(1000*I160/D75,"-")</f>
        <v>-</v>
      </c>
      <c r="O133" s="148" t="s">
        <v>885</v>
      </c>
      <c r="P133" s="261" t="str">
        <f>IFERROR(1000*((I157-(D131-D135))/D72+I160/D75),"-")</f>
        <v>-</v>
      </c>
    </row>
    <row r="134" spans="1:16" ht="30" x14ac:dyDescent="0.25">
      <c r="A134" s="138"/>
      <c r="B134" s="23" t="s">
        <v>929</v>
      </c>
      <c r="C134" s="23" t="s">
        <v>747</v>
      </c>
      <c r="D134" s="49">
        <v>100</v>
      </c>
      <c r="F134" s="50" t="s">
        <v>310</v>
      </c>
      <c r="G134" s="31" t="s">
        <v>606</v>
      </c>
      <c r="H134" s="3" t="s">
        <v>535</v>
      </c>
      <c r="I134" s="52">
        <f>I125*D68/D69</f>
        <v>12</v>
      </c>
      <c r="K134" s="294" t="s">
        <v>843</v>
      </c>
      <c r="L134" s="215" t="s">
        <v>253</v>
      </c>
      <c r="M134" s="255" t="s">
        <v>466</v>
      </c>
      <c r="N134" s="262" t="str">
        <f>IFERROR(1000*(I157/D72+I160/D75),"-")</f>
        <v>-</v>
      </c>
      <c r="O134" s="136"/>
      <c r="P134" s="251"/>
    </row>
    <row r="135" spans="1:16" ht="30" x14ac:dyDescent="0.25">
      <c r="A135" s="138"/>
      <c r="B135" s="23" t="s">
        <v>930</v>
      </c>
      <c r="C135" s="23" t="s">
        <v>746</v>
      </c>
      <c r="D135" s="62">
        <v>10</v>
      </c>
      <c r="F135" s="50" t="s">
        <v>311</v>
      </c>
      <c r="G135" s="31" t="s">
        <v>312</v>
      </c>
      <c r="H135" s="3" t="s">
        <v>313</v>
      </c>
      <c r="I135" s="51">
        <f>I124-SUM(I125:I132)</f>
        <v>77</v>
      </c>
      <c r="K135" s="289" t="s">
        <v>844</v>
      </c>
      <c r="L135" s="217" t="s">
        <v>253</v>
      </c>
      <c r="M135" s="267" t="s">
        <v>518</v>
      </c>
      <c r="N135" s="290">
        <f>I158*1000/D73</f>
        <v>8.908235294117647</v>
      </c>
      <c r="O135" s="280"/>
      <c r="P135" s="296"/>
    </row>
    <row r="136" spans="1:16" ht="45" x14ac:dyDescent="0.25">
      <c r="A136" s="138"/>
      <c r="B136" s="23" t="s">
        <v>203</v>
      </c>
      <c r="C136" s="23" t="s">
        <v>941</v>
      </c>
      <c r="D136" s="303">
        <v>5</v>
      </c>
      <c r="K136" s="228" t="s">
        <v>845</v>
      </c>
      <c r="L136" s="216" t="s">
        <v>707</v>
      </c>
      <c r="M136" s="148" t="s">
        <v>658</v>
      </c>
      <c r="N136" s="292">
        <f>1000*I162/D78</f>
        <v>3.3422624434389143</v>
      </c>
      <c r="O136" s="23"/>
      <c r="P136" s="293"/>
    </row>
    <row r="137" spans="1:16" ht="30" x14ac:dyDescent="0.25">
      <c r="A137" s="139" t="s">
        <v>204</v>
      </c>
      <c r="B137" s="32" t="s">
        <v>205</v>
      </c>
      <c r="C137" s="32" t="s">
        <v>206</v>
      </c>
      <c r="D137" s="250">
        <f>D132+D133-D134-D135-D136</f>
        <v>2386</v>
      </c>
      <c r="F137" s="39" t="s">
        <v>36</v>
      </c>
      <c r="G137" s="27" t="s">
        <v>37</v>
      </c>
      <c r="H137" s="27" t="s">
        <v>10</v>
      </c>
      <c r="I137" s="40" t="s">
        <v>59</v>
      </c>
      <c r="K137" s="297" t="s">
        <v>846</v>
      </c>
      <c r="L137" s="215" t="s">
        <v>707</v>
      </c>
      <c r="M137" s="255" t="s">
        <v>659</v>
      </c>
      <c r="N137" s="262" t="str">
        <f>IFERROR(1000*(I161/D76+I162/D78),"-")</f>
        <v>-</v>
      </c>
      <c r="O137" s="136"/>
      <c r="P137" s="251"/>
    </row>
    <row r="138" spans="1:16" ht="30.75" thickBot="1" x14ac:dyDescent="0.3">
      <c r="A138" s="280"/>
      <c r="B138" s="136" t="s">
        <v>718</v>
      </c>
      <c r="C138" s="136" t="s">
        <v>721</v>
      </c>
      <c r="D138" s="125">
        <v>150</v>
      </c>
      <c r="F138" s="47" t="s">
        <v>167</v>
      </c>
      <c r="G138" s="20" t="s">
        <v>168</v>
      </c>
      <c r="H138" s="20" t="s">
        <v>169</v>
      </c>
      <c r="I138" s="44">
        <f>I133+$I$135*D151/$D$150</f>
        <v>19.087058823529411</v>
      </c>
      <c r="K138" s="220" t="s">
        <v>847</v>
      </c>
      <c r="L138" s="221" t="s">
        <v>707</v>
      </c>
      <c r="M138" s="272" t="s">
        <v>660</v>
      </c>
      <c r="N138" s="223">
        <f>N135+N136</f>
        <v>12.250497737556561</v>
      </c>
      <c r="O138" s="298"/>
      <c r="P138" s="299"/>
    </row>
    <row r="139" spans="1:16" ht="45.75" thickBot="1" x14ac:dyDescent="0.3">
      <c r="A139" s="138"/>
      <c r="B139" s="23" t="s">
        <v>931</v>
      </c>
      <c r="C139" s="23" t="s">
        <v>736</v>
      </c>
      <c r="D139" s="62">
        <v>60</v>
      </c>
      <c r="E139" s="14"/>
      <c r="F139" s="41" t="s">
        <v>171</v>
      </c>
      <c r="G139" s="2" t="s">
        <v>172</v>
      </c>
      <c r="H139" s="2" t="s">
        <v>173</v>
      </c>
      <c r="I139" s="42">
        <f>I126+I135*D143/D150</f>
        <v>26.305882352941175</v>
      </c>
      <c r="K139" s="23"/>
      <c r="L139" s="23"/>
      <c r="M139" s="23"/>
      <c r="N139" s="23"/>
      <c r="O139" s="23"/>
      <c r="P139" s="23"/>
    </row>
    <row r="140" spans="1:16" ht="46.5" x14ac:dyDescent="0.35">
      <c r="A140" s="138"/>
      <c r="B140" s="23" t="s">
        <v>207</v>
      </c>
      <c r="C140" s="23" t="s">
        <v>940</v>
      </c>
      <c r="D140" s="62">
        <v>10</v>
      </c>
      <c r="E140" s="14"/>
      <c r="F140" s="41" t="s">
        <v>176</v>
      </c>
      <c r="G140" s="2" t="s">
        <v>177</v>
      </c>
      <c r="H140" s="2" t="s">
        <v>178</v>
      </c>
      <c r="I140" s="42">
        <f>I127+I135*D144/D150</f>
        <v>28.117647058823529</v>
      </c>
      <c r="K140" s="284" t="s">
        <v>155</v>
      </c>
      <c r="L140" s="300"/>
      <c r="M140" s="285"/>
      <c r="N140" s="286"/>
      <c r="O140" s="23"/>
      <c r="P140" s="23"/>
    </row>
    <row r="141" spans="1:16" ht="30" x14ac:dyDescent="0.25">
      <c r="A141" s="138" t="s">
        <v>210</v>
      </c>
      <c r="B141" s="34" t="s">
        <v>211</v>
      </c>
      <c r="C141" s="34" t="s">
        <v>212</v>
      </c>
      <c r="D141" s="63">
        <f>D137-D139-D140</f>
        <v>2316</v>
      </c>
      <c r="E141" s="35"/>
      <c r="F141" s="41" t="s">
        <v>181</v>
      </c>
      <c r="G141" s="2" t="s">
        <v>588</v>
      </c>
      <c r="H141" s="2" t="s">
        <v>529</v>
      </c>
      <c r="I141" s="42">
        <f>I134+$I$135*D152/$D$150</f>
        <v>12.724705882352941</v>
      </c>
      <c r="K141" s="301" t="s">
        <v>894</v>
      </c>
      <c r="L141" s="208" t="s">
        <v>683</v>
      </c>
      <c r="M141" s="255" t="s">
        <v>36</v>
      </c>
      <c r="N141" s="257" t="s">
        <v>11</v>
      </c>
      <c r="O141" s="23"/>
      <c r="P141" s="23"/>
    </row>
    <row r="142" spans="1:16" ht="45.75" thickBot="1" x14ac:dyDescent="0.3">
      <c r="A142" s="281"/>
      <c r="B142" s="113" t="s">
        <v>213</v>
      </c>
      <c r="C142" s="113" t="s">
        <v>531</v>
      </c>
      <c r="D142" s="48">
        <v>50</v>
      </c>
      <c r="E142" s="35"/>
      <c r="F142" s="41" t="s">
        <v>184</v>
      </c>
      <c r="G142" s="2" t="s">
        <v>589</v>
      </c>
      <c r="H142" s="2" t="s">
        <v>552</v>
      </c>
      <c r="I142" s="42">
        <f>I128+I135*D145/D150</f>
        <v>13.623529411764705</v>
      </c>
      <c r="K142" s="213" t="s">
        <v>557</v>
      </c>
      <c r="L142" s="165" t="s">
        <v>709</v>
      </c>
      <c r="M142" s="272" t="s">
        <v>691</v>
      </c>
      <c r="N142" s="302">
        <f>1000*D131/D72</f>
        <v>5</v>
      </c>
      <c r="O142" s="23"/>
      <c r="P142" s="23"/>
    </row>
    <row r="143" spans="1:16" ht="45" x14ac:dyDescent="0.25">
      <c r="A143" s="138"/>
      <c r="B143" s="23" t="s">
        <v>217</v>
      </c>
      <c r="C143" s="23" t="s">
        <v>218</v>
      </c>
      <c r="D143" s="49">
        <v>450</v>
      </c>
      <c r="E143" s="35"/>
      <c r="F143" s="41" t="s">
        <v>187</v>
      </c>
      <c r="G143" s="2" t="s">
        <v>590</v>
      </c>
      <c r="H143" s="2" t="s">
        <v>553</v>
      </c>
      <c r="I143" s="164">
        <f>I129+I135*D146/D150</f>
        <v>0.3623529411764706</v>
      </c>
    </row>
    <row r="144" spans="1:16" ht="30" x14ac:dyDescent="0.25">
      <c r="A144" s="236"/>
      <c r="B144" s="23" t="s">
        <v>220</v>
      </c>
      <c r="C144" s="23" t="s">
        <v>221</v>
      </c>
      <c r="D144" s="49">
        <v>500</v>
      </c>
      <c r="E144" s="35"/>
      <c r="F144" s="41" t="s">
        <v>190</v>
      </c>
      <c r="G144" s="2" t="s">
        <v>654</v>
      </c>
      <c r="H144" s="2" t="s">
        <v>655</v>
      </c>
      <c r="I144" s="110">
        <f>I130+$I$135*D147/$D$150</f>
        <v>17.247058823529411</v>
      </c>
    </row>
    <row r="145" spans="1:9" ht="30" x14ac:dyDescent="0.25">
      <c r="A145" s="236"/>
      <c r="B145" s="23" t="s">
        <v>593</v>
      </c>
      <c r="C145" s="23" t="s">
        <v>555</v>
      </c>
      <c r="D145" s="49">
        <v>100</v>
      </c>
      <c r="E145" s="35"/>
      <c r="F145" s="41" t="s">
        <v>194</v>
      </c>
      <c r="G145" s="2" t="s">
        <v>191</v>
      </c>
      <c r="H145" s="2" t="s">
        <v>192</v>
      </c>
      <c r="I145" s="110">
        <f>I131+$I$135*D148/$D$150</f>
        <v>2.5435294117647058</v>
      </c>
    </row>
    <row r="146" spans="1:9" ht="30" x14ac:dyDescent="0.25">
      <c r="A146" s="236"/>
      <c r="B146" s="23" t="s">
        <v>594</v>
      </c>
      <c r="C146" s="23" t="s">
        <v>570</v>
      </c>
      <c r="D146" s="49">
        <v>10</v>
      </c>
      <c r="E146" s="37"/>
      <c r="F146" s="41" t="s">
        <v>214</v>
      </c>
      <c r="G146" s="2" t="s">
        <v>195</v>
      </c>
      <c r="H146" s="2" t="s">
        <v>196</v>
      </c>
      <c r="I146" s="111">
        <f>I132+$I$135*D149/$D$150</f>
        <v>58.988235294117644</v>
      </c>
    </row>
    <row r="147" spans="1:9" x14ac:dyDescent="0.25">
      <c r="A147" s="23"/>
      <c r="B147" s="23" t="s">
        <v>646</v>
      </c>
      <c r="C147" s="23" t="s">
        <v>647</v>
      </c>
      <c r="D147" s="49">
        <v>200</v>
      </c>
      <c r="E147" s="37"/>
      <c r="F147" s="22"/>
      <c r="G147" s="3"/>
      <c r="H147" s="81" t="s">
        <v>200</v>
      </c>
      <c r="I147" s="82">
        <f>SUM(I138:I146)-I124</f>
        <v>0</v>
      </c>
    </row>
    <row r="148" spans="1:9" x14ac:dyDescent="0.25">
      <c r="A148" s="138"/>
      <c r="B148" s="23" t="s">
        <v>225</v>
      </c>
      <c r="C148" s="23" t="s">
        <v>226</v>
      </c>
      <c r="D148" s="62">
        <v>15</v>
      </c>
    </row>
    <row r="149" spans="1:9" x14ac:dyDescent="0.25">
      <c r="A149" s="138"/>
      <c r="B149" s="23" t="s">
        <v>228</v>
      </c>
      <c r="C149" s="23" t="s">
        <v>229</v>
      </c>
      <c r="D149" s="62">
        <v>800</v>
      </c>
      <c r="E149" s="36"/>
      <c r="F149" s="39" t="s">
        <v>36</v>
      </c>
      <c r="G149" s="27" t="s">
        <v>37</v>
      </c>
      <c r="H149" s="27" t="s">
        <v>10</v>
      </c>
      <c r="I149" s="40" t="s">
        <v>59</v>
      </c>
    </row>
    <row r="150" spans="1:9" x14ac:dyDescent="0.25">
      <c r="A150" s="139" t="s">
        <v>232</v>
      </c>
      <c r="B150" s="32" t="s">
        <v>233</v>
      </c>
      <c r="C150" s="32" t="s">
        <v>234</v>
      </c>
      <c r="D150" s="51">
        <f>SUM(D142:D149)</f>
        <v>2125</v>
      </c>
      <c r="F150" s="47" t="s">
        <v>219</v>
      </c>
      <c r="G150" s="2" t="s">
        <v>208</v>
      </c>
      <c r="H150" s="20" t="s">
        <v>209</v>
      </c>
      <c r="I150" s="60">
        <f>D151+I138+D176-D174</f>
        <v>50.287058823529414</v>
      </c>
    </row>
    <row r="151" spans="1:9" x14ac:dyDescent="0.25">
      <c r="A151" s="137" t="s">
        <v>246</v>
      </c>
      <c r="B151" s="225" t="s">
        <v>305</v>
      </c>
      <c r="C151" s="113" t="s">
        <v>306</v>
      </c>
      <c r="D151" s="109">
        <f>D142*D67/D69</f>
        <v>30</v>
      </c>
      <c r="E151" s="38"/>
      <c r="F151" s="41" t="s">
        <v>230</v>
      </c>
      <c r="G151" s="2" t="s">
        <v>591</v>
      </c>
      <c r="H151" s="2" t="s">
        <v>530</v>
      </c>
      <c r="I151" s="57">
        <f>D152+I141+D177-D175</f>
        <v>33.52470588235294</v>
      </c>
    </row>
    <row r="152" spans="1:9" x14ac:dyDescent="0.25">
      <c r="A152" s="139" t="s">
        <v>249</v>
      </c>
      <c r="B152" s="32" t="s">
        <v>597</v>
      </c>
      <c r="C152" s="136" t="s">
        <v>532</v>
      </c>
      <c r="D152" s="52">
        <f>D142*D68/D69</f>
        <v>20</v>
      </c>
      <c r="F152" s="41" t="s">
        <v>235</v>
      </c>
      <c r="G152" s="2" t="s">
        <v>215</v>
      </c>
      <c r="H152" s="2" t="s">
        <v>216</v>
      </c>
      <c r="I152" s="57">
        <f>D143+I139+D166-D158</f>
        <v>526.30588235294113</v>
      </c>
    </row>
    <row r="153" spans="1:9" ht="45" x14ac:dyDescent="0.25">
      <c r="A153" s="138"/>
      <c r="B153" s="23" t="s">
        <v>236</v>
      </c>
      <c r="C153" s="79" t="s">
        <v>237</v>
      </c>
      <c r="D153" s="49">
        <v>100</v>
      </c>
      <c r="F153" s="50" t="s">
        <v>222</v>
      </c>
      <c r="G153" s="3" t="s">
        <v>592</v>
      </c>
      <c r="H153" s="3" t="s">
        <v>554</v>
      </c>
      <c r="I153" s="51">
        <f>D145+I142+D168-D160</f>
        <v>213.62352941176471</v>
      </c>
    </row>
    <row r="154" spans="1:9" x14ac:dyDescent="0.25">
      <c r="A154" s="138"/>
      <c r="B154" s="23" t="s">
        <v>241</v>
      </c>
      <c r="C154" s="23" t="s">
        <v>242</v>
      </c>
      <c r="D154" s="49">
        <v>30</v>
      </c>
    </row>
    <row r="155" spans="1:9" x14ac:dyDescent="0.25">
      <c r="A155" s="138" t="s">
        <v>279</v>
      </c>
      <c r="B155" s="34" t="s">
        <v>247</v>
      </c>
      <c r="C155" s="34" t="s">
        <v>248</v>
      </c>
      <c r="D155" s="55">
        <f>D150+D153+D154</f>
        <v>2255</v>
      </c>
      <c r="F155" s="39" t="s">
        <v>36</v>
      </c>
      <c r="G155" s="27" t="s">
        <v>37</v>
      </c>
      <c r="H155" s="27" t="s">
        <v>10</v>
      </c>
      <c r="I155" s="40" t="s">
        <v>59</v>
      </c>
    </row>
    <row r="156" spans="1:9" s="23" customFormat="1" ht="30" x14ac:dyDescent="0.25">
      <c r="A156" s="282" t="s">
        <v>282</v>
      </c>
      <c r="B156" s="32" t="s">
        <v>250</v>
      </c>
      <c r="C156" s="32" t="s">
        <v>708</v>
      </c>
      <c r="D156" s="52">
        <f>D137-D155</f>
        <v>131</v>
      </c>
      <c r="E156" s="2"/>
      <c r="F156" s="41" t="s">
        <v>227</v>
      </c>
      <c r="G156" s="2" t="s">
        <v>223</v>
      </c>
      <c r="H156" s="2" t="s">
        <v>224</v>
      </c>
      <c r="I156" s="63">
        <f>I150+I152</f>
        <v>576.5929411764705</v>
      </c>
    </row>
    <row r="157" spans="1:9" x14ac:dyDescent="0.25">
      <c r="A157" s="23"/>
      <c r="B157" s="23" t="s">
        <v>251</v>
      </c>
      <c r="C157" s="23" t="s">
        <v>252</v>
      </c>
      <c r="D157" s="49">
        <v>0</v>
      </c>
      <c r="F157" s="41" t="s">
        <v>238</v>
      </c>
      <c r="G157" s="2" t="s">
        <v>595</v>
      </c>
      <c r="H157" s="2" t="s">
        <v>556</v>
      </c>
      <c r="I157" s="63">
        <f>I151+I153</f>
        <v>247.14823529411765</v>
      </c>
    </row>
    <row r="158" spans="1:9" x14ac:dyDescent="0.25">
      <c r="A158" s="23"/>
      <c r="B158" s="23" t="s">
        <v>254</v>
      </c>
      <c r="C158" s="23" t="s">
        <v>255</v>
      </c>
      <c r="D158" s="49">
        <v>250</v>
      </c>
      <c r="F158" s="41" t="s">
        <v>243</v>
      </c>
      <c r="G158" s="2" t="s">
        <v>656</v>
      </c>
      <c r="H158" s="2" t="s">
        <v>657</v>
      </c>
      <c r="I158" s="63">
        <f>D147+I144+D170-D162</f>
        <v>267.24705882352941</v>
      </c>
    </row>
    <row r="159" spans="1:9" x14ac:dyDescent="0.25">
      <c r="A159" s="23"/>
      <c r="B159" s="23" t="s">
        <v>257</v>
      </c>
      <c r="C159" s="23" t="s">
        <v>258</v>
      </c>
      <c r="D159" s="49">
        <v>200</v>
      </c>
      <c r="F159" s="41" t="s">
        <v>256</v>
      </c>
      <c r="G159" s="2" t="s">
        <v>467</v>
      </c>
      <c r="H159" s="2" t="s">
        <v>231</v>
      </c>
      <c r="I159" s="63">
        <f>D144+I140+D167-D159</f>
        <v>328.11764705882354</v>
      </c>
    </row>
    <row r="160" spans="1:9" ht="30" x14ac:dyDescent="0.25">
      <c r="B160" s="2" t="s">
        <v>598</v>
      </c>
      <c r="C160" s="2" t="s">
        <v>945</v>
      </c>
      <c r="D160" s="49">
        <v>100</v>
      </c>
      <c r="F160" s="41" t="s">
        <v>259</v>
      </c>
      <c r="G160" s="2" t="s">
        <v>596</v>
      </c>
      <c r="H160" s="2" t="s">
        <v>571</v>
      </c>
      <c r="I160" s="63">
        <f>D146+I143+D169-D161</f>
        <v>10.362352941176471</v>
      </c>
    </row>
    <row r="161" spans="1:9" x14ac:dyDescent="0.25">
      <c r="B161" s="2" t="s">
        <v>599</v>
      </c>
      <c r="C161" s="2" t="s">
        <v>572</v>
      </c>
      <c r="D161" s="49">
        <v>0</v>
      </c>
      <c r="F161" s="41" t="s">
        <v>260</v>
      </c>
      <c r="G161" s="2" t="s">
        <v>239</v>
      </c>
      <c r="H161" s="2" t="s">
        <v>240</v>
      </c>
      <c r="I161" s="283">
        <f>D148+I145+D171-D163</f>
        <v>17.543529411764705</v>
      </c>
    </row>
    <row r="162" spans="1:9" x14ac:dyDescent="0.25">
      <c r="B162" s="2" t="s">
        <v>648</v>
      </c>
      <c r="C162" s="2" t="s">
        <v>649</v>
      </c>
      <c r="D162" s="49">
        <v>100</v>
      </c>
      <c r="F162" s="50" t="s">
        <v>261</v>
      </c>
      <c r="G162" s="3" t="s">
        <v>244</v>
      </c>
      <c r="H162" s="3" t="s">
        <v>245</v>
      </c>
      <c r="I162" s="250">
        <f>D149+I146+D172-D164</f>
        <v>868.98823529411766</v>
      </c>
    </row>
    <row r="163" spans="1:9" x14ac:dyDescent="0.25">
      <c r="A163" s="26"/>
      <c r="B163" s="74" t="s">
        <v>262</v>
      </c>
      <c r="C163" s="74" t="s">
        <v>263</v>
      </c>
      <c r="D163" s="49">
        <v>0</v>
      </c>
    </row>
    <row r="164" spans="1:9" x14ac:dyDescent="0.25">
      <c r="A164" s="80"/>
      <c r="B164" s="85" t="s">
        <v>265</v>
      </c>
      <c r="C164" s="85" t="s">
        <v>266</v>
      </c>
      <c r="D164" s="53">
        <v>0</v>
      </c>
      <c r="E164" s="38"/>
    </row>
    <row r="165" spans="1:9" x14ac:dyDescent="0.25">
      <c r="A165" s="26"/>
      <c r="B165" s="74" t="s">
        <v>267</v>
      </c>
      <c r="C165" s="79" t="s">
        <v>268</v>
      </c>
      <c r="D165" s="49">
        <v>2</v>
      </c>
    </row>
    <row r="166" spans="1:9" x14ac:dyDescent="0.25">
      <c r="A166" s="26"/>
      <c r="B166" s="74" t="s">
        <v>269</v>
      </c>
      <c r="C166" s="79" t="s">
        <v>270</v>
      </c>
      <c r="D166" s="49">
        <v>300</v>
      </c>
    </row>
    <row r="167" spans="1:9" x14ac:dyDescent="0.25">
      <c r="A167" s="26"/>
      <c r="B167" s="74" t="s">
        <v>271</v>
      </c>
      <c r="C167" s="79" t="s">
        <v>272</v>
      </c>
      <c r="D167" s="49">
        <v>0</v>
      </c>
    </row>
    <row r="168" spans="1:9" x14ac:dyDescent="0.25">
      <c r="A168" s="26"/>
      <c r="B168" s="74" t="s">
        <v>600</v>
      </c>
      <c r="C168" s="74" t="s">
        <v>558</v>
      </c>
      <c r="D168" s="49">
        <v>200</v>
      </c>
    </row>
    <row r="169" spans="1:9" x14ac:dyDescent="0.25">
      <c r="B169" s="2" t="s">
        <v>601</v>
      </c>
      <c r="C169" s="2" t="s">
        <v>573</v>
      </c>
      <c r="D169" s="49">
        <v>0</v>
      </c>
    </row>
    <row r="170" spans="1:9" x14ac:dyDescent="0.25">
      <c r="A170" s="26"/>
      <c r="B170" s="74" t="s">
        <v>650</v>
      </c>
      <c r="C170" s="74" t="s">
        <v>651</v>
      </c>
      <c r="D170" s="49">
        <v>150</v>
      </c>
    </row>
    <row r="171" spans="1:9" x14ac:dyDescent="0.25">
      <c r="A171" s="26"/>
      <c r="B171" s="74" t="s">
        <v>275</v>
      </c>
      <c r="C171" s="79" t="s">
        <v>276</v>
      </c>
      <c r="D171" s="49">
        <v>0</v>
      </c>
    </row>
    <row r="172" spans="1:9" x14ac:dyDescent="0.25">
      <c r="A172" s="80"/>
      <c r="B172" s="85" t="s">
        <v>277</v>
      </c>
      <c r="C172" s="167" t="s">
        <v>278</v>
      </c>
      <c r="D172" s="53">
        <v>10</v>
      </c>
      <c r="E172" s="23"/>
    </row>
    <row r="173" spans="1:9" ht="30" x14ac:dyDescent="0.25">
      <c r="A173" s="80" t="s">
        <v>285</v>
      </c>
      <c r="B173" s="31" t="s">
        <v>280</v>
      </c>
      <c r="C173" s="32" t="s">
        <v>737</v>
      </c>
      <c r="D173" s="52">
        <f>SUM(D157:D164)-SUM(D165:D172)-D139-D140</f>
        <v>-82</v>
      </c>
    </row>
    <row r="174" spans="1:9" x14ac:dyDescent="0.25">
      <c r="A174" s="137" t="s">
        <v>287</v>
      </c>
      <c r="B174" s="113" t="s">
        <v>283</v>
      </c>
      <c r="C174" s="113" t="s">
        <v>284</v>
      </c>
      <c r="D174" s="109">
        <f>D67/(D67+D68)*D157</f>
        <v>0</v>
      </c>
    </row>
    <row r="175" spans="1:9" x14ac:dyDescent="0.25">
      <c r="A175" s="138" t="s">
        <v>290</v>
      </c>
      <c r="B175" s="23" t="s">
        <v>602</v>
      </c>
      <c r="C175" s="23" t="s">
        <v>533</v>
      </c>
      <c r="D175" s="55">
        <f>D157*D68/D69</f>
        <v>0</v>
      </c>
    </row>
    <row r="176" spans="1:9" x14ac:dyDescent="0.25">
      <c r="A176" s="138" t="s">
        <v>291</v>
      </c>
      <c r="B176" s="23" t="s">
        <v>288</v>
      </c>
      <c r="C176" s="23" t="s">
        <v>289</v>
      </c>
      <c r="D176" s="55">
        <f>D165*D67/D69</f>
        <v>1.2</v>
      </c>
    </row>
    <row r="177" spans="1:16" x14ac:dyDescent="0.25">
      <c r="A177" s="139" t="s">
        <v>304</v>
      </c>
      <c r="B177" s="136" t="s">
        <v>603</v>
      </c>
      <c r="C177" s="136" t="s">
        <v>534</v>
      </c>
      <c r="D177" s="52">
        <f>D165*D68/D69</f>
        <v>0.8</v>
      </c>
    </row>
    <row r="179" spans="1:16" x14ac:dyDescent="0.25">
      <c r="A179" s="6"/>
      <c r="B179" s="6"/>
      <c r="C179" s="6"/>
      <c r="D179" s="6"/>
      <c r="E179" s="6"/>
      <c r="F179" s="6"/>
      <c r="G179" s="6"/>
      <c r="H179" s="6"/>
      <c r="I179" s="6"/>
      <c r="J179" s="6"/>
      <c r="K179" s="6"/>
      <c r="L179" s="6"/>
      <c r="M179" s="6"/>
      <c r="N179" s="6"/>
      <c r="O179" s="6"/>
      <c r="P179" s="6"/>
    </row>
    <row r="180" spans="1:16" ht="21.75" thickBot="1" x14ac:dyDescent="0.4">
      <c r="A180" s="61" t="s">
        <v>738</v>
      </c>
      <c r="C180" s="10"/>
      <c r="D180" s="3"/>
      <c r="E180" s="17"/>
    </row>
    <row r="181" spans="1:16" ht="21" x14ac:dyDescent="0.35">
      <c r="A181" s="39" t="s">
        <v>36</v>
      </c>
      <c r="B181" s="27" t="s">
        <v>37</v>
      </c>
      <c r="C181" s="27" t="s">
        <v>10</v>
      </c>
      <c r="D181" s="40" t="s">
        <v>59</v>
      </c>
      <c r="E181" s="17"/>
      <c r="F181" s="58" t="s">
        <v>36</v>
      </c>
      <c r="G181" s="25" t="s">
        <v>37</v>
      </c>
      <c r="H181" s="25" t="s">
        <v>10</v>
      </c>
      <c r="I181" s="59" t="s">
        <v>59</v>
      </c>
      <c r="K181" s="224" t="s">
        <v>155</v>
      </c>
      <c r="L181" s="127"/>
      <c r="M181" s="127"/>
      <c r="N181" s="127"/>
      <c r="O181" s="127"/>
      <c r="P181" s="214"/>
    </row>
    <row r="182" spans="1:16" ht="15" customHeight="1" x14ac:dyDescent="0.25">
      <c r="A182" s="76"/>
      <c r="B182" s="4"/>
      <c r="C182" s="28" t="s">
        <v>696</v>
      </c>
      <c r="D182" s="59"/>
      <c r="E182" s="17"/>
      <c r="F182" s="47"/>
      <c r="G182" s="20"/>
      <c r="H182" s="83" t="s">
        <v>911</v>
      </c>
      <c r="I182" s="65"/>
      <c r="K182" s="361" t="s">
        <v>920</v>
      </c>
      <c r="L182" s="362"/>
      <c r="M182" s="362"/>
      <c r="N182" s="362"/>
      <c r="O182" s="362"/>
      <c r="P182" s="363"/>
    </row>
    <row r="183" spans="1:16" ht="30" customHeight="1" x14ac:dyDescent="0.25">
      <c r="A183" s="26"/>
      <c r="B183" s="2" t="s">
        <v>521</v>
      </c>
      <c r="C183" s="2" t="s">
        <v>710</v>
      </c>
      <c r="D183" s="62">
        <v>2985</v>
      </c>
      <c r="F183" s="41"/>
      <c r="G183" s="2" t="s">
        <v>777</v>
      </c>
      <c r="H183" s="23" t="s">
        <v>778</v>
      </c>
      <c r="I183" s="62">
        <v>3</v>
      </c>
      <c r="K183" s="364" t="s">
        <v>921</v>
      </c>
      <c r="L183" s="365"/>
      <c r="M183" s="365"/>
      <c r="N183" s="365"/>
      <c r="O183" s="365"/>
      <c r="P183" s="366"/>
    </row>
    <row r="184" spans="1:16" ht="30" x14ac:dyDescent="0.25">
      <c r="A184" s="26"/>
      <c r="B184" s="2" t="s">
        <v>314</v>
      </c>
      <c r="C184" s="2" t="s">
        <v>315</v>
      </c>
      <c r="D184" s="62">
        <v>30</v>
      </c>
      <c r="F184" s="21"/>
      <c r="G184" s="23" t="s">
        <v>912</v>
      </c>
      <c r="H184" s="23" t="s">
        <v>914</v>
      </c>
      <c r="I184" s="62">
        <v>6</v>
      </c>
      <c r="K184" s="313"/>
      <c r="L184" s="253"/>
      <c r="M184" s="148" t="s">
        <v>892</v>
      </c>
      <c r="N184" s="218" t="s">
        <v>892</v>
      </c>
      <c r="O184" s="148" t="s">
        <v>893</v>
      </c>
      <c r="P184" s="209" t="s">
        <v>893</v>
      </c>
    </row>
    <row r="185" spans="1:16" ht="30" x14ac:dyDescent="0.25">
      <c r="A185" s="26"/>
      <c r="B185" s="2" t="s">
        <v>316</v>
      </c>
      <c r="C185" s="2" t="s">
        <v>317</v>
      </c>
      <c r="D185" s="62">
        <v>10</v>
      </c>
      <c r="E185" s="13"/>
      <c r="F185" s="41"/>
      <c r="G185" s="23" t="s">
        <v>913</v>
      </c>
      <c r="H185" s="23" t="s">
        <v>915</v>
      </c>
      <c r="I185" s="62">
        <v>2</v>
      </c>
      <c r="K185" s="288" t="s">
        <v>837</v>
      </c>
      <c r="L185" s="215" t="s">
        <v>683</v>
      </c>
      <c r="M185" s="255" t="s">
        <v>36</v>
      </c>
      <c r="N185" s="256" t="s">
        <v>11</v>
      </c>
      <c r="O185" s="255" t="s">
        <v>36</v>
      </c>
      <c r="P185" s="257" t="s">
        <v>11</v>
      </c>
    </row>
    <row r="186" spans="1:16" ht="30" x14ac:dyDescent="0.25">
      <c r="A186" s="26" t="s">
        <v>321</v>
      </c>
      <c r="B186" s="30" t="s">
        <v>322</v>
      </c>
      <c r="C186" s="30" t="s">
        <v>323</v>
      </c>
      <c r="D186" s="55">
        <f>D183+D184-D185</f>
        <v>3005</v>
      </c>
      <c r="F186" s="138" t="s">
        <v>330</v>
      </c>
      <c r="G186" s="34" t="s">
        <v>909</v>
      </c>
      <c r="H186" s="34" t="s">
        <v>910</v>
      </c>
      <c r="I186" s="63">
        <f>I183+I184+I185</f>
        <v>11</v>
      </c>
      <c r="K186" s="294" t="s">
        <v>839</v>
      </c>
      <c r="L186" s="215" t="s">
        <v>706</v>
      </c>
      <c r="M186" s="255" t="s">
        <v>750</v>
      </c>
      <c r="N186" s="262">
        <f>I190*1000/D80</f>
        <v>12.353846153846154</v>
      </c>
      <c r="O186" s="255" t="s">
        <v>800</v>
      </c>
      <c r="P186" s="263">
        <f>I216*1000/D80</f>
        <v>0.64615384615384619</v>
      </c>
    </row>
    <row r="187" spans="1:16" ht="30" x14ac:dyDescent="0.25">
      <c r="A187" s="26"/>
      <c r="C187" s="30" t="s">
        <v>324</v>
      </c>
      <c r="D187" s="66">
        <f>D186-D190-D203</f>
        <v>0</v>
      </c>
      <c r="F187" s="50"/>
      <c r="G187" s="3" t="s">
        <v>714</v>
      </c>
      <c r="H187" s="3" t="s">
        <v>715</v>
      </c>
      <c r="I187" s="125">
        <v>2</v>
      </c>
      <c r="K187" s="228" t="s">
        <v>840</v>
      </c>
      <c r="L187" s="216" t="s">
        <v>253</v>
      </c>
      <c r="M187" s="148" t="s">
        <v>751</v>
      </c>
      <c r="N187" s="260">
        <f>I206*1000/D71</f>
        <v>4.4145446583044974</v>
      </c>
      <c r="O187" s="148" t="s">
        <v>801</v>
      </c>
      <c r="P187" s="261">
        <f>I217*1000/D71</f>
        <v>0.41199999999999998</v>
      </c>
    </row>
    <row r="188" spans="1:16" ht="30" x14ac:dyDescent="0.25">
      <c r="A188" s="58"/>
      <c r="B188" s="25"/>
      <c r="C188" s="83" t="s">
        <v>325</v>
      </c>
      <c r="D188" s="59"/>
      <c r="F188" s="26"/>
      <c r="I188" s="192"/>
      <c r="J188" s="188"/>
      <c r="K188" s="228" t="s">
        <v>877</v>
      </c>
      <c r="L188" s="216" t="s">
        <v>253</v>
      </c>
      <c r="M188" s="148" t="s">
        <v>791</v>
      </c>
      <c r="N188" s="260" t="str">
        <f>IFERROR(1000*I209/D74,"-")</f>
        <v>-</v>
      </c>
      <c r="O188" s="148" t="s">
        <v>802</v>
      </c>
      <c r="P188" s="261" t="str">
        <f>IFERROR(1000*I220/D74,"-")</f>
        <v>-</v>
      </c>
    </row>
    <row r="189" spans="1:16" ht="30" x14ac:dyDescent="0.25">
      <c r="B189" s="2" t="s">
        <v>661</v>
      </c>
      <c r="C189" s="2" t="s">
        <v>662</v>
      </c>
      <c r="D189" s="62">
        <v>300</v>
      </c>
      <c r="F189" s="39" t="s">
        <v>36</v>
      </c>
      <c r="G189" s="27" t="s">
        <v>37</v>
      </c>
      <c r="H189" s="27" t="s">
        <v>10</v>
      </c>
      <c r="I189" s="40" t="s">
        <v>59</v>
      </c>
      <c r="K189" s="294" t="s">
        <v>874</v>
      </c>
      <c r="L189" s="215" t="s">
        <v>253</v>
      </c>
      <c r="M189" s="255" t="s">
        <v>792</v>
      </c>
      <c r="N189" s="262" t="str">
        <f>IFERROR(1000*(I206/D71+I209/D74),"-")</f>
        <v>-</v>
      </c>
      <c r="O189" s="255" t="s">
        <v>803</v>
      </c>
      <c r="P189" s="263" t="str">
        <f>IFERROR(1000*(I217/D71+I220/D74),"-")</f>
        <v>-</v>
      </c>
    </row>
    <row r="190" spans="1:16" x14ac:dyDescent="0.25">
      <c r="A190" s="138"/>
      <c r="B190" s="23" t="s">
        <v>329</v>
      </c>
      <c r="C190" s="23" t="s">
        <v>749</v>
      </c>
      <c r="D190" s="62">
        <v>3005</v>
      </c>
      <c r="F190" s="249" t="s">
        <v>335</v>
      </c>
      <c r="G190" s="84" t="s">
        <v>319</v>
      </c>
      <c r="H190" s="85" t="s">
        <v>320</v>
      </c>
      <c r="I190" s="309">
        <f>D201+D214+D221-I186</f>
        <v>3212</v>
      </c>
      <c r="K190" s="228" t="s">
        <v>842</v>
      </c>
      <c r="L190" s="216" t="s">
        <v>253</v>
      </c>
      <c r="M190" s="148" t="s">
        <v>793</v>
      </c>
      <c r="N190" s="260">
        <f>I207*1000/D72</f>
        <v>5.8343667099192622</v>
      </c>
      <c r="O190" s="148" t="s">
        <v>804</v>
      </c>
      <c r="P190" s="261">
        <f>I218*1000/D72</f>
        <v>0.88666666666666671</v>
      </c>
    </row>
    <row r="191" spans="1:16" ht="30" x14ac:dyDescent="0.25">
      <c r="A191" s="248"/>
      <c r="B191" s="23" t="s">
        <v>333</v>
      </c>
      <c r="C191" s="23" t="s">
        <v>334</v>
      </c>
      <c r="D191" s="62">
        <v>0</v>
      </c>
      <c r="F191" s="23"/>
      <c r="I191" s="23"/>
      <c r="K191" s="228" t="s">
        <v>878</v>
      </c>
      <c r="L191" s="216" t="s">
        <v>253</v>
      </c>
      <c r="M191" s="148" t="s">
        <v>794</v>
      </c>
      <c r="N191" s="260" t="str">
        <f>IFERROR(1000*I210/D75,"-")</f>
        <v>-</v>
      </c>
      <c r="O191" s="148" t="s">
        <v>805</v>
      </c>
      <c r="P191" s="261" t="str">
        <f>IFERROR(1000*I221/D75,"-")</f>
        <v>-</v>
      </c>
    </row>
    <row r="192" spans="1:16" ht="30" x14ac:dyDescent="0.25">
      <c r="A192" s="248"/>
      <c r="B192" s="23" t="s">
        <v>336</v>
      </c>
      <c r="C192" s="23" t="s">
        <v>337</v>
      </c>
      <c r="D192" s="62">
        <v>0</v>
      </c>
      <c r="F192" s="277" t="s">
        <v>36</v>
      </c>
      <c r="G192" s="27" t="s">
        <v>37</v>
      </c>
      <c r="H192" s="27" t="s">
        <v>10</v>
      </c>
      <c r="I192" s="311" t="s">
        <v>59</v>
      </c>
      <c r="K192" s="294" t="s">
        <v>886</v>
      </c>
      <c r="L192" s="215" t="s">
        <v>253</v>
      </c>
      <c r="M192" s="255" t="s">
        <v>795</v>
      </c>
      <c r="N192" s="262" t="str">
        <f>IFERROR(1000*(I207/D72+I210/D75),"-")</f>
        <v>-</v>
      </c>
      <c r="O192" s="255" t="s">
        <v>806</v>
      </c>
      <c r="P192" s="263" t="str">
        <f>IFERROR(1000*(I218/D72+I221/D75),"-")</f>
        <v>-</v>
      </c>
    </row>
    <row r="193" spans="1:16" ht="30" x14ac:dyDescent="0.25">
      <c r="A193" s="138"/>
      <c r="B193" s="23" t="s">
        <v>339</v>
      </c>
      <c r="C193" s="23" t="s">
        <v>340</v>
      </c>
      <c r="D193" s="62">
        <v>30</v>
      </c>
      <c r="F193" s="137" t="s">
        <v>338</v>
      </c>
      <c r="G193" s="20" t="s">
        <v>327</v>
      </c>
      <c r="H193" s="20" t="s">
        <v>328</v>
      </c>
      <c r="I193" s="109">
        <f>D201*I156/(D141-(D131-D135))</f>
        <v>809.50893166089952</v>
      </c>
      <c r="K193" s="294" t="s">
        <v>844</v>
      </c>
      <c r="L193" s="215" t="s">
        <v>253</v>
      </c>
      <c r="M193" s="255" t="s">
        <v>796</v>
      </c>
      <c r="N193" s="314">
        <f>1000*I208/D73</f>
        <v>12.506736591695502</v>
      </c>
      <c r="O193" s="255" t="s">
        <v>807</v>
      </c>
      <c r="P193" s="315">
        <f>1000*I219/D73</f>
        <v>0</v>
      </c>
    </row>
    <row r="194" spans="1:16" ht="30" x14ac:dyDescent="0.25">
      <c r="A194" s="138"/>
      <c r="B194" s="23" t="s">
        <v>341</v>
      </c>
      <c r="C194" s="23" t="s">
        <v>366</v>
      </c>
      <c r="D194" s="62">
        <v>20</v>
      </c>
      <c r="F194" s="138" t="s">
        <v>345</v>
      </c>
      <c r="G194" s="2" t="s">
        <v>607</v>
      </c>
      <c r="H194" s="2" t="s">
        <v>561</v>
      </c>
      <c r="I194" s="55">
        <f>D201*(I157-(D131-D135))/(D141-(D131-D135))</f>
        <v>150.43100129757786</v>
      </c>
      <c r="K194" s="228" t="s">
        <v>845</v>
      </c>
      <c r="L194" s="216" t="s">
        <v>707</v>
      </c>
      <c r="M194" s="148" t="s">
        <v>797</v>
      </c>
      <c r="N194" s="316">
        <f>1000*I212/D78</f>
        <v>4.7885305762576529</v>
      </c>
      <c r="O194" s="148" t="s">
        <v>879</v>
      </c>
      <c r="P194" s="317">
        <f>1000*I223/D78</f>
        <v>9.6153846153846159E-2</v>
      </c>
    </row>
    <row r="195" spans="1:16" ht="30" x14ac:dyDescent="0.25">
      <c r="A195" s="282" t="s">
        <v>342</v>
      </c>
      <c r="B195" s="32" t="s">
        <v>343</v>
      </c>
      <c r="C195" s="32" t="s">
        <v>344</v>
      </c>
      <c r="D195" s="52">
        <f>SUM(D189:D194)</f>
        <v>3355</v>
      </c>
      <c r="F195" s="138" t="s">
        <v>349</v>
      </c>
      <c r="G195" s="2" t="s">
        <v>665</v>
      </c>
      <c r="H195" s="2" t="s">
        <v>666</v>
      </c>
      <c r="I195" s="55">
        <f>D201*I158/(D141-(D131-D135))</f>
        <v>375.20209775086505</v>
      </c>
      <c r="K195" s="294" t="s">
        <v>846</v>
      </c>
      <c r="L195" s="215" t="s">
        <v>707</v>
      </c>
      <c r="M195" s="255" t="s">
        <v>798</v>
      </c>
      <c r="N195" s="371" t="str">
        <f>IFERROR(1000*(I211/D76+I212/D78),"-")</f>
        <v>-</v>
      </c>
      <c r="O195" s="255" t="s">
        <v>880</v>
      </c>
      <c r="P195" s="372" t="str">
        <f>IFERROR(1000*(I222/D76+I223/D78),"-")</f>
        <v>-</v>
      </c>
    </row>
    <row r="196" spans="1:16" ht="60.75" thickBot="1" x14ac:dyDescent="0.3">
      <c r="A196" s="138"/>
      <c r="B196" s="23" t="s">
        <v>348</v>
      </c>
      <c r="C196" s="23" t="s">
        <v>938</v>
      </c>
      <c r="D196" s="171">
        <v>0.85</v>
      </c>
      <c r="F196" s="138" t="s">
        <v>354</v>
      </c>
      <c r="G196" s="2" t="s">
        <v>331</v>
      </c>
      <c r="H196" s="2" t="s">
        <v>332</v>
      </c>
      <c r="I196" s="55">
        <f>D201*I159/(D141-(D131-D135))</f>
        <v>460.66149437716263</v>
      </c>
      <c r="K196" s="220" t="s">
        <v>847</v>
      </c>
      <c r="L196" s="221" t="s">
        <v>707</v>
      </c>
      <c r="M196" s="272" t="s">
        <v>799</v>
      </c>
      <c r="N196" s="227">
        <f>1000*(I208/D73+I212/D78)</f>
        <v>17.295267167953156</v>
      </c>
      <c r="O196" s="272" t="s">
        <v>881</v>
      </c>
      <c r="P196" s="226">
        <f>1000*(I219/D73+I223/D78)</f>
        <v>9.6153846153846159E-2</v>
      </c>
    </row>
    <row r="197" spans="1:16" ht="30" x14ac:dyDescent="0.25">
      <c r="A197" s="248" t="s">
        <v>350</v>
      </c>
      <c r="B197" s="34" t="s">
        <v>932</v>
      </c>
      <c r="C197" s="34" t="s">
        <v>742</v>
      </c>
      <c r="D197" s="63">
        <f>IFERROR(D134/D196,"0")</f>
        <v>117.64705882352942</v>
      </c>
      <c r="E197" s="14"/>
      <c r="F197" s="138" t="s">
        <v>357</v>
      </c>
      <c r="G197" s="2" t="s">
        <v>608</v>
      </c>
      <c r="H197" s="2" t="s">
        <v>562</v>
      </c>
      <c r="I197" s="55">
        <f>D201*I160/(D141-(D131-D135))</f>
        <v>14.548248269896195</v>
      </c>
    </row>
    <row r="198" spans="1:16" ht="30" x14ac:dyDescent="0.25">
      <c r="A198" s="282" t="s">
        <v>351</v>
      </c>
      <c r="B198" s="32" t="s">
        <v>734</v>
      </c>
      <c r="C198" s="32" t="s">
        <v>939</v>
      </c>
      <c r="D198" s="318">
        <f>IFERROR(D136/D196,"0")</f>
        <v>5.882352941176471</v>
      </c>
      <c r="E198" s="14"/>
      <c r="F198" s="138" t="s">
        <v>359</v>
      </c>
      <c r="G198" s="74" t="s">
        <v>479</v>
      </c>
      <c r="H198" s="74" t="s">
        <v>486</v>
      </c>
      <c r="I198" s="55">
        <f>D201*I161/(D141-(D131-D135))</f>
        <v>24.630276816608994</v>
      </c>
    </row>
    <row r="199" spans="1:16" ht="45" x14ac:dyDescent="0.25">
      <c r="A199" s="304"/>
      <c r="B199" s="113" t="s">
        <v>725</v>
      </c>
      <c r="C199" s="113" t="s">
        <v>719</v>
      </c>
      <c r="D199" s="69">
        <v>0.85</v>
      </c>
      <c r="E199" s="14"/>
      <c r="F199" s="139" t="s">
        <v>362</v>
      </c>
      <c r="G199" s="85" t="s">
        <v>480</v>
      </c>
      <c r="H199" s="85" t="s">
        <v>485</v>
      </c>
      <c r="I199" s="52">
        <f>D201*I162/(D141-(D131-D135))</f>
        <v>1220.0179498269897</v>
      </c>
    </row>
    <row r="200" spans="1:16" x14ac:dyDescent="0.25">
      <c r="A200" s="282" t="s">
        <v>368</v>
      </c>
      <c r="B200" s="32" t="s">
        <v>916</v>
      </c>
      <c r="C200" s="32" t="s">
        <v>739</v>
      </c>
      <c r="D200" s="52">
        <f>IFERROR(D138/D199,"0")</f>
        <v>176.47058823529412</v>
      </c>
      <c r="F200" s="23"/>
      <c r="I200" s="23"/>
    </row>
    <row r="201" spans="1:16" x14ac:dyDescent="0.25">
      <c r="A201" s="282" t="s">
        <v>370</v>
      </c>
      <c r="B201" s="32" t="s">
        <v>352</v>
      </c>
      <c r="C201" s="32" t="s">
        <v>353</v>
      </c>
      <c r="D201" s="250">
        <f>D195-D197-D198-D200</f>
        <v>3055</v>
      </c>
      <c r="F201" s="277" t="s">
        <v>36</v>
      </c>
      <c r="G201" s="27" t="s">
        <v>37</v>
      </c>
      <c r="H201" s="27" t="s">
        <v>10</v>
      </c>
      <c r="I201" s="311" t="s">
        <v>59</v>
      </c>
    </row>
    <row r="202" spans="1:16" ht="30" x14ac:dyDescent="0.25">
      <c r="A202" s="137"/>
      <c r="B202" s="113"/>
      <c r="C202" s="83" t="s">
        <v>473</v>
      </c>
      <c r="D202" s="65"/>
      <c r="E202" s="14"/>
      <c r="F202" s="138" t="s">
        <v>364</v>
      </c>
      <c r="G202" s="2" t="s">
        <v>346</v>
      </c>
      <c r="H202" s="2" t="s">
        <v>347</v>
      </c>
      <c r="I202" s="55">
        <f>D222*D67/D69</f>
        <v>32.4</v>
      </c>
      <c r="J202" s="188"/>
    </row>
    <row r="203" spans="1:16" ht="30" x14ac:dyDescent="0.25">
      <c r="A203" s="138"/>
      <c r="B203" s="23" t="s">
        <v>356</v>
      </c>
      <c r="C203" s="23" t="s">
        <v>749</v>
      </c>
      <c r="D203" s="62">
        <v>0</v>
      </c>
      <c r="E203" s="14"/>
      <c r="F203" s="139" t="s">
        <v>367</v>
      </c>
      <c r="G203" s="3" t="s">
        <v>609</v>
      </c>
      <c r="H203" s="3" t="s">
        <v>536</v>
      </c>
      <c r="I203" s="52">
        <f>D222*D68/D69</f>
        <v>21.6</v>
      </c>
    </row>
    <row r="204" spans="1:16" x14ac:dyDescent="0.25">
      <c r="A204" s="248"/>
      <c r="B204" s="23" t="s">
        <v>358</v>
      </c>
      <c r="C204" s="23" t="s">
        <v>334</v>
      </c>
      <c r="D204" s="62">
        <v>30</v>
      </c>
      <c r="F204" s="23"/>
      <c r="I204" s="23"/>
    </row>
    <row r="205" spans="1:16" x14ac:dyDescent="0.25">
      <c r="A205" s="248"/>
      <c r="B205" s="23" t="s">
        <v>361</v>
      </c>
      <c r="C205" s="23" t="s">
        <v>337</v>
      </c>
      <c r="D205" s="62">
        <v>0</v>
      </c>
      <c r="F205" s="277" t="s">
        <v>36</v>
      </c>
      <c r="G205" s="27" t="s">
        <v>37</v>
      </c>
      <c r="H205" s="27" t="s">
        <v>10</v>
      </c>
      <c r="I205" s="311" t="s">
        <v>59</v>
      </c>
      <c r="J205" s="190"/>
    </row>
    <row r="206" spans="1:16" x14ac:dyDescent="0.25">
      <c r="A206" s="138"/>
      <c r="B206" s="23" t="s">
        <v>363</v>
      </c>
      <c r="C206" s="23" t="s">
        <v>340</v>
      </c>
      <c r="D206" s="62">
        <v>10</v>
      </c>
      <c r="F206" s="137" t="s">
        <v>372</v>
      </c>
      <c r="G206" s="20" t="s">
        <v>355</v>
      </c>
      <c r="H206" s="20" t="s">
        <v>487</v>
      </c>
      <c r="I206" s="109">
        <f>I193+D209+I202+D223-I183-I184</f>
        <v>882.9089316608995</v>
      </c>
    </row>
    <row r="207" spans="1:16" x14ac:dyDescent="0.25">
      <c r="A207" s="138"/>
      <c r="B207" s="23" t="s">
        <v>365</v>
      </c>
      <c r="C207" s="23" t="s">
        <v>366</v>
      </c>
      <c r="D207" s="62">
        <v>55</v>
      </c>
      <c r="F207" s="138" t="s">
        <v>376</v>
      </c>
      <c r="G207" s="2" t="s">
        <v>610</v>
      </c>
      <c r="H207" s="2" t="s">
        <v>563</v>
      </c>
      <c r="I207" s="55">
        <f>I194+D210+I203+D224-I185</f>
        <v>175.03100129757786</v>
      </c>
    </row>
    <row r="208" spans="1:16" x14ac:dyDescent="0.25">
      <c r="A208" s="248" t="s">
        <v>395</v>
      </c>
      <c r="B208" s="34" t="s">
        <v>369</v>
      </c>
      <c r="C208" s="34" t="s">
        <v>903</v>
      </c>
      <c r="D208" s="63">
        <f>SUM(D203:D207)</f>
        <v>95</v>
      </c>
      <c r="F208" s="138" t="s">
        <v>381</v>
      </c>
      <c r="G208" s="2" t="s">
        <v>667</v>
      </c>
      <c r="H208" s="2" t="s">
        <v>668</v>
      </c>
      <c r="I208" s="55">
        <f>I195+D225</f>
        <v>375.20209775086505</v>
      </c>
    </row>
    <row r="209" spans="1:11" ht="30" x14ac:dyDescent="0.25">
      <c r="A209" s="23"/>
      <c r="B209" s="23" t="s">
        <v>779</v>
      </c>
      <c r="C209" s="23" t="s">
        <v>470</v>
      </c>
      <c r="D209" s="62">
        <v>50</v>
      </c>
      <c r="F209" s="312" t="s">
        <v>386</v>
      </c>
      <c r="G209" s="2" t="s">
        <v>360</v>
      </c>
      <c r="H209" s="2" t="s">
        <v>488</v>
      </c>
      <c r="I209" s="64">
        <f>I196+D211+D226</f>
        <v>492.66149437716263</v>
      </c>
    </row>
    <row r="210" spans="1:11" ht="30" x14ac:dyDescent="0.25">
      <c r="A210" s="23"/>
      <c r="B210" s="23" t="s">
        <v>780</v>
      </c>
      <c r="C210" s="23" t="s">
        <v>625</v>
      </c>
      <c r="D210" s="62">
        <v>5</v>
      </c>
      <c r="F210" s="312" t="s">
        <v>390</v>
      </c>
      <c r="G210" s="2" t="s">
        <v>611</v>
      </c>
      <c r="H210" s="2" t="s">
        <v>574</v>
      </c>
      <c r="I210" s="64">
        <f>I197+D212+D227</f>
        <v>15.548248269896195</v>
      </c>
    </row>
    <row r="211" spans="1:11" ht="30" x14ac:dyDescent="0.25">
      <c r="A211" s="248"/>
      <c r="B211" s="23" t="s">
        <v>471</v>
      </c>
      <c r="C211" s="23" t="s">
        <v>472</v>
      </c>
      <c r="D211" s="49">
        <v>20</v>
      </c>
      <c r="F211" s="138" t="s">
        <v>400</v>
      </c>
      <c r="G211" s="74" t="s">
        <v>481</v>
      </c>
      <c r="H211" s="74" t="s">
        <v>489</v>
      </c>
      <c r="I211" s="57">
        <f>I198+D228</f>
        <v>25.630276816608994</v>
      </c>
    </row>
    <row r="212" spans="1:11" ht="30" x14ac:dyDescent="0.25">
      <c r="A212" s="248"/>
      <c r="B212" s="23" t="s">
        <v>612</v>
      </c>
      <c r="C212" s="23" t="s">
        <v>537</v>
      </c>
      <c r="D212" s="62">
        <v>0</v>
      </c>
      <c r="F212" s="139" t="s">
        <v>401</v>
      </c>
      <c r="G212" s="85" t="s">
        <v>482</v>
      </c>
      <c r="H212" s="85" t="s">
        <v>490</v>
      </c>
      <c r="I212" s="51">
        <f>I199+D213+D229</f>
        <v>1245.0179498269897</v>
      </c>
    </row>
    <row r="213" spans="1:11" x14ac:dyDescent="0.25">
      <c r="A213" s="248"/>
      <c r="B213" s="23" t="s">
        <v>468</v>
      </c>
      <c r="C213" s="23" t="s">
        <v>469</v>
      </c>
      <c r="D213" s="49">
        <v>20</v>
      </c>
      <c r="J213" s="191"/>
      <c r="K213" s="14"/>
    </row>
    <row r="214" spans="1:11" x14ac:dyDescent="0.25">
      <c r="A214" s="248" t="s">
        <v>406</v>
      </c>
      <c r="B214" s="34" t="s">
        <v>369</v>
      </c>
      <c r="C214" s="34" t="s">
        <v>904</v>
      </c>
      <c r="D214" s="63">
        <f>SUM(D209:D213)</f>
        <v>95</v>
      </c>
      <c r="F214" s="341" t="s">
        <v>926</v>
      </c>
      <c r="G214" s="342"/>
      <c r="H214" s="342"/>
      <c r="I214" s="343"/>
      <c r="K214" s="14"/>
    </row>
    <row r="215" spans="1:11" x14ac:dyDescent="0.25">
      <c r="C215" s="2" t="s">
        <v>371</v>
      </c>
      <c r="D215" s="66">
        <f>D208-D214</f>
        <v>0</v>
      </c>
      <c r="F215" s="307" t="s">
        <v>36</v>
      </c>
      <c r="G215" s="208" t="s">
        <v>37</v>
      </c>
      <c r="H215" s="208" t="s">
        <v>10</v>
      </c>
      <c r="I215" s="222" t="s">
        <v>59</v>
      </c>
      <c r="K215" s="14"/>
    </row>
    <row r="216" spans="1:11" x14ac:dyDescent="0.25">
      <c r="A216" s="47"/>
      <c r="B216" s="20"/>
      <c r="C216" s="29" t="s">
        <v>375</v>
      </c>
      <c r="D216" s="67"/>
      <c r="F216" s="249" t="s">
        <v>404</v>
      </c>
      <c r="G216" s="280" t="s">
        <v>783</v>
      </c>
      <c r="H216" s="308" t="s">
        <v>320</v>
      </c>
      <c r="I216" s="309">
        <f>D214+D221</f>
        <v>168</v>
      </c>
      <c r="K216" s="14"/>
    </row>
    <row r="217" spans="1:11" x14ac:dyDescent="0.25">
      <c r="A217" s="41"/>
      <c r="B217" s="2" t="s">
        <v>379</v>
      </c>
      <c r="C217" s="2" t="s">
        <v>380</v>
      </c>
      <c r="D217" s="62">
        <v>10</v>
      </c>
      <c r="F217" s="138" t="s">
        <v>405</v>
      </c>
      <c r="G217" s="23" t="s">
        <v>788</v>
      </c>
      <c r="H217" s="23" t="s">
        <v>487</v>
      </c>
      <c r="I217" s="55">
        <f>D209+I202+D223</f>
        <v>82.4</v>
      </c>
    </row>
    <row r="218" spans="1:11" x14ac:dyDescent="0.25">
      <c r="A218" s="41"/>
      <c r="B218" s="2" t="s">
        <v>384</v>
      </c>
      <c r="C218" s="2" t="s">
        <v>385</v>
      </c>
      <c r="D218" s="62">
        <v>61</v>
      </c>
      <c r="F218" s="138" t="s">
        <v>408</v>
      </c>
      <c r="G218" s="23" t="s">
        <v>787</v>
      </c>
      <c r="H218" s="23" t="s">
        <v>563</v>
      </c>
      <c r="I218" s="55">
        <f>D210+I203+D224</f>
        <v>26.6</v>
      </c>
    </row>
    <row r="219" spans="1:11" x14ac:dyDescent="0.25">
      <c r="A219" s="41"/>
      <c r="B219" s="2" t="s">
        <v>388</v>
      </c>
      <c r="C219" s="2" t="s">
        <v>389</v>
      </c>
      <c r="D219" s="62">
        <v>1</v>
      </c>
      <c r="F219" s="138" t="s">
        <v>483</v>
      </c>
      <c r="G219" s="23" t="s">
        <v>789</v>
      </c>
      <c r="H219" s="23" t="s">
        <v>668</v>
      </c>
      <c r="I219" s="63">
        <f>D225</f>
        <v>0</v>
      </c>
    </row>
    <row r="220" spans="1:11" x14ac:dyDescent="0.25">
      <c r="A220" s="41"/>
      <c r="B220" s="2" t="s">
        <v>393</v>
      </c>
      <c r="C220" s="2" t="s">
        <v>394</v>
      </c>
      <c r="D220" s="62">
        <v>1</v>
      </c>
      <c r="F220" s="138" t="s">
        <v>484</v>
      </c>
      <c r="G220" s="23" t="s">
        <v>784</v>
      </c>
      <c r="H220" s="23" t="s">
        <v>488</v>
      </c>
      <c r="I220" s="55">
        <f>D211+D226</f>
        <v>32</v>
      </c>
    </row>
    <row r="221" spans="1:11" x14ac:dyDescent="0.25">
      <c r="A221" s="248" t="s">
        <v>318</v>
      </c>
      <c r="B221" s="30" t="s">
        <v>396</v>
      </c>
      <c r="C221" s="30" t="s">
        <v>397</v>
      </c>
      <c r="D221" s="63">
        <f>SUM(D217:D220)</f>
        <v>73</v>
      </c>
      <c r="F221" s="138" t="s">
        <v>519</v>
      </c>
      <c r="G221" s="23" t="s">
        <v>790</v>
      </c>
      <c r="H221" s="23" t="s">
        <v>574</v>
      </c>
      <c r="I221" s="55">
        <f>D212+D227</f>
        <v>1</v>
      </c>
    </row>
    <row r="222" spans="1:11" ht="30" x14ac:dyDescent="0.25">
      <c r="A222" s="138"/>
      <c r="B222" s="2" t="s">
        <v>398</v>
      </c>
      <c r="C222" s="2" t="s">
        <v>399</v>
      </c>
      <c r="D222" s="49">
        <v>54</v>
      </c>
      <c r="F222" s="138" t="s">
        <v>520</v>
      </c>
      <c r="G222" s="79" t="s">
        <v>785</v>
      </c>
      <c r="H222" s="79" t="s">
        <v>489</v>
      </c>
      <c r="I222" s="63">
        <f>D228</f>
        <v>1</v>
      </c>
    </row>
    <row r="223" spans="1:11" ht="30" x14ac:dyDescent="0.25">
      <c r="A223" s="23"/>
      <c r="B223" s="2" t="s">
        <v>781</v>
      </c>
      <c r="C223" s="2" t="s">
        <v>474</v>
      </c>
      <c r="D223" s="49">
        <v>0</v>
      </c>
      <c r="F223" s="139" t="s">
        <v>669</v>
      </c>
      <c r="G223" s="167" t="s">
        <v>786</v>
      </c>
      <c r="H223" s="167" t="s">
        <v>490</v>
      </c>
      <c r="I223" s="250">
        <f>D213+D229</f>
        <v>25</v>
      </c>
    </row>
    <row r="224" spans="1:11" ht="30" x14ac:dyDescent="0.25">
      <c r="A224" s="23"/>
      <c r="B224" s="2" t="s">
        <v>782</v>
      </c>
      <c r="C224" s="2" t="s">
        <v>564</v>
      </c>
      <c r="D224" s="49">
        <v>0</v>
      </c>
      <c r="F224" s="23"/>
      <c r="G224" s="23"/>
      <c r="H224" s="310"/>
      <c r="I224" s="23"/>
    </row>
    <row r="225" spans="1:16" ht="30" x14ac:dyDescent="0.25">
      <c r="A225" s="23"/>
      <c r="B225" s="2" t="s">
        <v>663</v>
      </c>
      <c r="C225" s="2" t="s">
        <v>664</v>
      </c>
      <c r="D225" s="49">
        <v>0</v>
      </c>
      <c r="F225" s="344" t="s">
        <v>925</v>
      </c>
      <c r="G225" s="345"/>
      <c r="H225" s="345"/>
      <c r="I225" s="346"/>
    </row>
    <row r="226" spans="1:16" ht="30" x14ac:dyDescent="0.25">
      <c r="A226" s="23"/>
      <c r="B226" s="2" t="s">
        <v>402</v>
      </c>
      <c r="C226" s="2" t="s">
        <v>403</v>
      </c>
      <c r="D226" s="49">
        <v>12</v>
      </c>
      <c r="F226" s="277" t="s">
        <v>36</v>
      </c>
      <c r="G226" s="278" t="s">
        <v>37</v>
      </c>
      <c r="H226" s="278" t="s">
        <v>10</v>
      </c>
      <c r="I226" s="311" t="s">
        <v>59</v>
      </c>
    </row>
    <row r="227" spans="1:16" ht="30" x14ac:dyDescent="0.25">
      <c r="A227" s="138"/>
      <c r="B227" s="2" t="s">
        <v>613</v>
      </c>
      <c r="C227" s="23" t="s">
        <v>711</v>
      </c>
      <c r="D227" s="62">
        <v>1</v>
      </c>
      <c r="F227" s="138" t="s">
        <v>670</v>
      </c>
      <c r="G227" s="79" t="s">
        <v>373</v>
      </c>
      <c r="H227" s="79" t="s">
        <v>374</v>
      </c>
      <c r="I227" s="78">
        <f>D183/D186</f>
        <v>0.99334442595673877</v>
      </c>
    </row>
    <row r="228" spans="1:16" ht="30" x14ac:dyDescent="0.25">
      <c r="A228" s="248"/>
      <c r="B228" s="2" t="s">
        <v>475</v>
      </c>
      <c r="C228" s="2" t="s">
        <v>476</v>
      </c>
      <c r="D228" s="62">
        <v>1</v>
      </c>
      <c r="F228" s="138" t="s">
        <v>671</v>
      </c>
      <c r="G228" s="79" t="s">
        <v>377</v>
      </c>
      <c r="H228" s="79" t="s">
        <v>378</v>
      </c>
      <c r="I228" s="55">
        <f>D195-I227*D190-D189</f>
        <v>70</v>
      </c>
    </row>
    <row r="229" spans="1:16" ht="30" x14ac:dyDescent="0.25">
      <c r="A229" s="248"/>
      <c r="B229" s="2" t="s">
        <v>477</v>
      </c>
      <c r="C229" s="2" t="s">
        <v>478</v>
      </c>
      <c r="D229" s="62">
        <v>5</v>
      </c>
      <c r="F229" s="138" t="s">
        <v>695</v>
      </c>
      <c r="G229" s="79" t="s">
        <v>382</v>
      </c>
      <c r="H229" s="79" t="s">
        <v>383</v>
      </c>
      <c r="I229" s="63">
        <f>I228-D197-D198-D200</f>
        <v>-230</v>
      </c>
    </row>
    <row r="230" spans="1:16" x14ac:dyDescent="0.25">
      <c r="A230" s="248" t="s">
        <v>326</v>
      </c>
      <c r="B230" s="30" t="s">
        <v>396</v>
      </c>
      <c r="C230" s="30" t="s">
        <v>407</v>
      </c>
      <c r="D230" s="63">
        <f>SUM(D222:D229)</f>
        <v>73</v>
      </c>
      <c r="F230" s="138" t="s">
        <v>720</v>
      </c>
      <c r="G230" s="79" t="s">
        <v>387</v>
      </c>
      <c r="H230" s="79" t="s">
        <v>905</v>
      </c>
      <c r="I230" s="63">
        <f>D208-I227*D203</f>
        <v>95</v>
      </c>
      <c r="J230" s="14"/>
    </row>
    <row r="231" spans="1:16" x14ac:dyDescent="0.25">
      <c r="A231" s="50"/>
      <c r="B231" s="3"/>
      <c r="C231" s="31" t="s">
        <v>371</v>
      </c>
      <c r="D231" s="66">
        <f>D221-D230</f>
        <v>0</v>
      </c>
      <c r="F231" s="139" t="s">
        <v>740</v>
      </c>
      <c r="G231" s="167" t="s">
        <v>391</v>
      </c>
      <c r="H231" s="167" t="s">
        <v>392</v>
      </c>
      <c r="I231" s="250">
        <f>I229+I230+D221-I186-I187</f>
        <v>-75</v>
      </c>
    </row>
    <row r="233" spans="1:16" x14ac:dyDescent="0.25">
      <c r="A233" s="6"/>
      <c r="B233" s="6"/>
      <c r="C233" s="193"/>
      <c r="D233" s="6"/>
      <c r="E233" s="6"/>
      <c r="F233" s="6"/>
      <c r="G233" s="6"/>
      <c r="H233" s="6"/>
      <c r="I233" s="6"/>
      <c r="J233" s="6"/>
      <c r="K233" s="6"/>
      <c r="L233" s="6"/>
      <c r="M233" s="6"/>
      <c r="N233" s="6"/>
      <c r="O233" s="6"/>
      <c r="P233" s="6"/>
    </row>
    <row r="234" spans="1:16" ht="21.75" thickBot="1" x14ac:dyDescent="0.4">
      <c r="A234" s="61" t="s">
        <v>409</v>
      </c>
      <c r="C234" s="3"/>
      <c r="D234" s="3"/>
    </row>
    <row r="235" spans="1:16" ht="21" x14ac:dyDescent="0.35">
      <c r="A235" s="39" t="s">
        <v>36</v>
      </c>
      <c r="B235" s="27" t="s">
        <v>37</v>
      </c>
      <c r="C235" s="27" t="s">
        <v>10</v>
      </c>
      <c r="D235" s="40" t="s">
        <v>59</v>
      </c>
      <c r="F235" s="39" t="s">
        <v>36</v>
      </c>
      <c r="G235" s="27" t="s">
        <v>37</v>
      </c>
      <c r="H235" s="27" t="s">
        <v>10</v>
      </c>
      <c r="I235" s="40" t="s">
        <v>59</v>
      </c>
      <c r="K235" s="224" t="s">
        <v>155</v>
      </c>
      <c r="L235" s="127"/>
      <c r="M235" s="127"/>
      <c r="N235" s="127"/>
      <c r="O235" s="127"/>
      <c r="P235" s="214"/>
    </row>
    <row r="236" spans="1:16" ht="15.75" x14ac:dyDescent="0.25">
      <c r="A236" s="319"/>
      <c r="B236" s="306"/>
      <c r="C236" s="83" t="s">
        <v>744</v>
      </c>
      <c r="D236" s="59"/>
      <c r="F236" s="249" t="s">
        <v>423</v>
      </c>
      <c r="G236" s="308" t="s">
        <v>414</v>
      </c>
      <c r="H236" s="308" t="s">
        <v>415</v>
      </c>
      <c r="I236" s="320">
        <f>D245+D249+D260</f>
        <v>172.77744659711874</v>
      </c>
      <c r="K236" s="361" t="s">
        <v>922</v>
      </c>
      <c r="L236" s="362"/>
      <c r="M236" s="362"/>
      <c r="N236" s="362"/>
      <c r="O236" s="362"/>
      <c r="P236" s="363"/>
    </row>
    <row r="237" spans="1:16" ht="15" customHeight="1" x14ac:dyDescent="0.25">
      <c r="A237" s="237"/>
      <c r="B237" s="23" t="s">
        <v>339</v>
      </c>
      <c r="C237" s="23" t="s">
        <v>340</v>
      </c>
      <c r="D237" s="68">
        <f>D193</f>
        <v>30</v>
      </c>
      <c r="F237" s="23"/>
      <c r="G237" s="23"/>
      <c r="H237" s="23"/>
      <c r="I237" s="23"/>
      <c r="K237" s="364" t="s">
        <v>923</v>
      </c>
      <c r="L237" s="365"/>
      <c r="M237" s="365"/>
      <c r="N237" s="365"/>
      <c r="O237" s="365"/>
      <c r="P237" s="366"/>
    </row>
    <row r="238" spans="1:16" x14ac:dyDescent="0.25">
      <c r="A238" s="237"/>
      <c r="B238" s="23" t="s">
        <v>341</v>
      </c>
      <c r="C238" s="23" t="s">
        <v>366</v>
      </c>
      <c r="D238" s="68">
        <f>D194</f>
        <v>20</v>
      </c>
      <c r="F238" s="277" t="s">
        <v>36</v>
      </c>
      <c r="G238" s="278" t="s">
        <v>37</v>
      </c>
      <c r="H238" s="278" t="s">
        <v>10</v>
      </c>
      <c r="I238" s="311" t="s">
        <v>59</v>
      </c>
      <c r="K238" s="313"/>
      <c r="L238" s="253"/>
      <c r="M238" s="148" t="s">
        <v>892</v>
      </c>
      <c r="N238" s="218" t="s">
        <v>892</v>
      </c>
      <c r="O238" s="148" t="s">
        <v>893</v>
      </c>
      <c r="P238" s="209" t="s">
        <v>893</v>
      </c>
    </row>
    <row r="239" spans="1:16" ht="30" x14ac:dyDescent="0.25">
      <c r="A239" s="248" t="s">
        <v>410</v>
      </c>
      <c r="B239" s="34" t="s">
        <v>411</v>
      </c>
      <c r="C239" s="34" t="s">
        <v>412</v>
      </c>
      <c r="D239" s="64">
        <f>D237+D238</f>
        <v>50</v>
      </c>
      <c r="F239" s="137" t="s">
        <v>426</v>
      </c>
      <c r="G239" s="321" t="s">
        <v>421</v>
      </c>
      <c r="H239" s="113" t="s">
        <v>422</v>
      </c>
      <c r="I239" s="322">
        <f>D245*I156/(D141-(D131-D135))</f>
        <v>12.130033351553996</v>
      </c>
      <c r="K239" s="288" t="s">
        <v>838</v>
      </c>
      <c r="L239" s="215" t="s">
        <v>683</v>
      </c>
      <c r="M239" s="255" t="s">
        <v>36</v>
      </c>
      <c r="N239" s="256" t="s">
        <v>11</v>
      </c>
      <c r="O239" s="255" t="s">
        <v>36</v>
      </c>
      <c r="P239" s="257" t="s">
        <v>11</v>
      </c>
    </row>
    <row r="240" spans="1:16" ht="75" x14ac:dyDescent="0.25">
      <c r="A240" s="248"/>
      <c r="B240" s="23" t="s">
        <v>906</v>
      </c>
      <c r="C240" s="23" t="s">
        <v>935</v>
      </c>
      <c r="D240" s="69">
        <v>0.9</v>
      </c>
      <c r="E240" s="14"/>
      <c r="F240" s="138" t="s">
        <v>427</v>
      </c>
      <c r="G240" s="23" t="s">
        <v>614</v>
      </c>
      <c r="H240" s="23" t="s">
        <v>565</v>
      </c>
      <c r="I240" s="164">
        <f>D245*(I157-(D131-D135))/(D141-(D131-D135))</f>
        <v>2.2541234463014628</v>
      </c>
      <c r="K240" s="228" t="s">
        <v>839</v>
      </c>
      <c r="L240" s="216" t="s">
        <v>706</v>
      </c>
      <c r="M240" s="148" t="s">
        <v>745</v>
      </c>
      <c r="N240" s="260">
        <f>I236*1000/D80</f>
        <v>0.66452864075814899</v>
      </c>
      <c r="O240" s="148" t="s">
        <v>828</v>
      </c>
      <c r="P240" s="261">
        <f>I262*1000/D80</f>
        <v>0.48846153846153845</v>
      </c>
    </row>
    <row r="241" spans="1:16" ht="30" x14ac:dyDescent="0.25">
      <c r="A241" s="248" t="s">
        <v>416</v>
      </c>
      <c r="B241" s="34" t="s">
        <v>933</v>
      </c>
      <c r="C241" s="34" t="s">
        <v>936</v>
      </c>
      <c r="D241" s="323">
        <f>IFERROR((D239/D195)*(D134/D240),0)</f>
        <v>1.6559032952475576</v>
      </c>
      <c r="E241" s="14"/>
      <c r="F241" s="138" t="s">
        <v>431</v>
      </c>
      <c r="G241" s="23" t="s">
        <v>674</v>
      </c>
      <c r="H241" s="23" t="s">
        <v>675</v>
      </c>
      <c r="I241" s="164">
        <f>D245*I158/(D141-(D131-D135))</f>
        <v>5.6221911597110132</v>
      </c>
      <c r="K241" s="228" t="s">
        <v>840</v>
      </c>
      <c r="L241" s="216" t="s">
        <v>253</v>
      </c>
      <c r="M241" s="148" t="s">
        <v>818</v>
      </c>
      <c r="N241" s="260">
        <f>I252*1000/D71</f>
        <v>0.25665016675776997</v>
      </c>
      <c r="O241" s="148" t="s">
        <v>829</v>
      </c>
      <c r="P241" s="261">
        <f>I263*1000/D71</f>
        <v>0.19600000000000001</v>
      </c>
    </row>
    <row r="242" spans="1:16" ht="30" x14ac:dyDescent="0.25">
      <c r="A242" s="282" t="s">
        <v>417</v>
      </c>
      <c r="B242" s="32" t="s">
        <v>743</v>
      </c>
      <c r="C242" s="32" t="s">
        <v>937</v>
      </c>
      <c r="D242" s="325">
        <f>IFERROR((D239/D195)*(D136/D240),0)</f>
        <v>8.2795164762377874E-2</v>
      </c>
      <c r="E242" s="14"/>
      <c r="F242" s="138" t="s">
        <v>436</v>
      </c>
      <c r="G242" s="23" t="s">
        <v>424</v>
      </c>
      <c r="H242" s="23" t="s">
        <v>425</v>
      </c>
      <c r="I242" s="164">
        <f>D245*I159/(D141-(D131-D135))</f>
        <v>6.9027518684777318</v>
      </c>
      <c r="J242" s="135"/>
      <c r="K242" s="228" t="s">
        <v>887</v>
      </c>
      <c r="L242" s="216" t="s">
        <v>253</v>
      </c>
      <c r="M242" s="148" t="s">
        <v>819</v>
      </c>
      <c r="N242" s="373" t="str">
        <f>IFERROR(1000*I255/D74,"-")</f>
        <v>-</v>
      </c>
      <c r="O242" s="148" t="s">
        <v>830</v>
      </c>
      <c r="P242" s="261" t="str">
        <f>IFERROR(1000*I266/D74,"-")</f>
        <v>-</v>
      </c>
    </row>
    <row r="243" spans="1:16" ht="45" x14ac:dyDescent="0.25">
      <c r="A243" s="23"/>
      <c r="B243" s="23" t="s">
        <v>723</v>
      </c>
      <c r="C243" s="23" t="s">
        <v>741</v>
      </c>
      <c r="D243" s="69">
        <v>0.9</v>
      </c>
      <c r="E243" s="14"/>
      <c r="F243" s="138" t="s">
        <v>439</v>
      </c>
      <c r="G243" s="23" t="s">
        <v>615</v>
      </c>
      <c r="H243" s="23" t="s">
        <v>566</v>
      </c>
      <c r="I243" s="164">
        <f>D245*I160/(D141-(D131-D135))</f>
        <v>0.2179972694784936</v>
      </c>
      <c r="K243" s="228" t="s">
        <v>841</v>
      </c>
      <c r="L243" s="216" t="s">
        <v>253</v>
      </c>
      <c r="M243" s="148" t="s">
        <v>820</v>
      </c>
      <c r="N243" s="260" t="str">
        <f>IFERROR(1000*(I252/D71+I255/D74),"-")</f>
        <v>-</v>
      </c>
      <c r="O243" s="148" t="s">
        <v>831</v>
      </c>
      <c r="P243" s="261" t="str">
        <f>IFERROR(1000*(I263/D71+I266/D74),"-")</f>
        <v>-</v>
      </c>
    </row>
    <row r="244" spans="1:16" ht="30" x14ac:dyDescent="0.25">
      <c r="A244" s="282" t="s">
        <v>428</v>
      </c>
      <c r="B244" s="32" t="s">
        <v>917</v>
      </c>
      <c r="C244" s="32" t="s">
        <v>722</v>
      </c>
      <c r="D244" s="324">
        <f>IFERROR((D239/D195)*(D138/D243),0)</f>
        <v>2.4838549428713361</v>
      </c>
      <c r="E244" s="169"/>
      <c r="F244" s="138" t="s">
        <v>444</v>
      </c>
      <c r="G244" s="79" t="s">
        <v>712</v>
      </c>
      <c r="H244" s="79" t="s">
        <v>500</v>
      </c>
      <c r="I244" s="323">
        <f>D245*I161/(D141-(D131-D135))</f>
        <v>0.36907076322244509</v>
      </c>
      <c r="K244" s="228" t="s">
        <v>842</v>
      </c>
      <c r="L244" s="216" t="s">
        <v>253</v>
      </c>
      <c r="M244" s="148" t="s">
        <v>821</v>
      </c>
      <c r="N244" s="260">
        <f>I253*1000/D72</f>
        <v>0.60180411487671537</v>
      </c>
      <c r="O244" s="148" t="s">
        <v>832</v>
      </c>
      <c r="P244" s="261">
        <f>I264*1000/D72</f>
        <v>0.52666666666666662</v>
      </c>
    </row>
    <row r="245" spans="1:16" ht="30" x14ac:dyDescent="0.25">
      <c r="A245" s="248" t="s">
        <v>434</v>
      </c>
      <c r="B245" s="34" t="s">
        <v>418</v>
      </c>
      <c r="C245" s="32" t="s">
        <v>419</v>
      </c>
      <c r="D245" s="250">
        <f>D239-D241-D242-D244</f>
        <v>45.777446597118725</v>
      </c>
      <c r="E245" s="169"/>
      <c r="F245" s="139" t="s">
        <v>447</v>
      </c>
      <c r="G245" s="167" t="s">
        <v>713</v>
      </c>
      <c r="H245" s="167" t="s">
        <v>501</v>
      </c>
      <c r="I245" s="324">
        <f>D245*I162/(D141-(D131-D135))</f>
        <v>18.28127873837358</v>
      </c>
      <c r="K245" s="228" t="s">
        <v>887</v>
      </c>
      <c r="L245" s="216" t="s">
        <v>253</v>
      </c>
      <c r="M245" s="148" t="s">
        <v>822</v>
      </c>
      <c r="N245" s="260" t="str">
        <f>IFERROR(1000*I256/D75,"-")</f>
        <v>-</v>
      </c>
      <c r="O245" s="148" t="s">
        <v>833</v>
      </c>
      <c r="P245" s="261" t="str">
        <f>IFERROR(1000*I267/D75,"-")</f>
        <v>-</v>
      </c>
    </row>
    <row r="246" spans="1:16" ht="30" x14ac:dyDescent="0.25">
      <c r="A246" s="305"/>
      <c r="B246" s="306"/>
      <c r="C246" s="83" t="s">
        <v>510</v>
      </c>
      <c r="D246" s="59"/>
      <c r="E246" s="13"/>
      <c r="F246" s="23"/>
      <c r="G246" s="23"/>
      <c r="H246" s="23"/>
      <c r="I246" s="23"/>
      <c r="J246" s="135"/>
      <c r="K246" s="228" t="s">
        <v>843</v>
      </c>
      <c r="L246" s="216" t="s">
        <v>253</v>
      </c>
      <c r="M246" s="148" t="s">
        <v>823</v>
      </c>
      <c r="N246" s="260" t="str">
        <f>IFERROR(1000*(I253/D72+I256/D75),"-")</f>
        <v>-</v>
      </c>
      <c r="O246" s="148" t="s">
        <v>834</v>
      </c>
      <c r="P246" s="261" t="str">
        <f>IFERROR(1000*(I264/D72+I267/D75),"-")</f>
        <v>-</v>
      </c>
    </row>
    <row r="247" spans="1:16" ht="15.75" x14ac:dyDescent="0.25">
      <c r="A247" s="248"/>
      <c r="B247" s="23" t="s">
        <v>363</v>
      </c>
      <c r="C247" s="23" t="s">
        <v>340</v>
      </c>
      <c r="D247" s="68">
        <f>D206</f>
        <v>10</v>
      </c>
      <c r="E247" s="13"/>
      <c r="F247" s="277" t="s">
        <v>36</v>
      </c>
      <c r="G247" s="278" t="s">
        <v>37</v>
      </c>
      <c r="H247" s="278" t="s">
        <v>10</v>
      </c>
      <c r="I247" s="311" t="s">
        <v>59</v>
      </c>
      <c r="J247" s="135"/>
      <c r="K247" s="228" t="s">
        <v>844</v>
      </c>
      <c r="L247" s="216" t="s">
        <v>253</v>
      </c>
      <c r="M247" s="148" t="s">
        <v>824</v>
      </c>
      <c r="N247" s="260">
        <f>I254*1000/D73</f>
        <v>0.25407303865703379</v>
      </c>
      <c r="O247" s="148" t="s">
        <v>888</v>
      </c>
      <c r="P247" s="261">
        <f>I265*1000/D73</f>
        <v>6.6666666666666666E-2</v>
      </c>
    </row>
    <row r="248" spans="1:16" ht="30" x14ac:dyDescent="0.25">
      <c r="A248" s="248"/>
      <c r="B248" s="23" t="s">
        <v>365</v>
      </c>
      <c r="C248" s="23" t="s">
        <v>366</v>
      </c>
      <c r="D248" s="68">
        <f>D207</f>
        <v>55</v>
      </c>
      <c r="E248" s="13"/>
      <c r="F248" s="138" t="s">
        <v>450</v>
      </c>
      <c r="G248" s="23" t="s">
        <v>432</v>
      </c>
      <c r="H248" s="23" t="s">
        <v>433</v>
      </c>
      <c r="I248" s="55">
        <f>D261*D67/D69</f>
        <v>13.2</v>
      </c>
      <c r="K248" s="228" t="s">
        <v>845</v>
      </c>
      <c r="L248" s="216" t="s">
        <v>707</v>
      </c>
      <c r="M248" s="148" t="s">
        <v>825</v>
      </c>
      <c r="N248" s="260">
        <f>1000*I258/D78</f>
        <v>0.17800491822451375</v>
      </c>
      <c r="O248" s="148" t="s">
        <v>889</v>
      </c>
      <c r="P248" s="295">
        <f>1000*I269/D78</f>
        <v>0.1076923076923077</v>
      </c>
    </row>
    <row r="249" spans="1:16" ht="30" x14ac:dyDescent="0.25">
      <c r="A249" s="248" t="s">
        <v>455</v>
      </c>
      <c r="B249" s="34" t="s">
        <v>429</v>
      </c>
      <c r="C249" s="34" t="s">
        <v>430</v>
      </c>
      <c r="D249" s="55">
        <f>D247+D248</f>
        <v>65</v>
      </c>
      <c r="E249" s="13"/>
      <c r="F249" s="139" t="s">
        <v>453</v>
      </c>
      <c r="G249" s="136" t="s">
        <v>616</v>
      </c>
      <c r="H249" s="136" t="s">
        <v>538</v>
      </c>
      <c r="I249" s="52">
        <f>D261*D68/D69</f>
        <v>8.8000000000000007</v>
      </c>
      <c r="K249" s="228" t="s">
        <v>846</v>
      </c>
      <c r="L249" s="216" t="s">
        <v>707</v>
      </c>
      <c r="M249" s="148" t="s">
        <v>826</v>
      </c>
      <c r="N249" s="260" t="str">
        <f>IFERROR(1000*(I257/D76+I258/D78),"-")</f>
        <v>-</v>
      </c>
      <c r="O249" s="148" t="s">
        <v>890</v>
      </c>
      <c r="P249" s="261" t="str">
        <f>IFERROR(1000*(I268/D76+I269/D78),"-")</f>
        <v>-</v>
      </c>
    </row>
    <row r="250" spans="1:16" ht="30.75" thickBot="1" x14ac:dyDescent="0.3">
      <c r="A250" s="23"/>
      <c r="B250" s="23" t="s">
        <v>816</v>
      </c>
      <c r="C250" s="23" t="s">
        <v>493</v>
      </c>
      <c r="D250" s="62">
        <v>25</v>
      </c>
      <c r="E250" s="13"/>
      <c r="F250" s="23"/>
      <c r="G250" s="23"/>
      <c r="H250" s="23"/>
      <c r="I250" s="23"/>
      <c r="K250" s="220" t="s">
        <v>847</v>
      </c>
      <c r="L250" s="221" t="s">
        <v>707</v>
      </c>
      <c r="M250" s="272" t="s">
        <v>827</v>
      </c>
      <c r="N250" s="374">
        <f>1000*(I254/D73+I258/D78)</f>
        <v>0.43207795688154754</v>
      </c>
      <c r="O250" s="272" t="s">
        <v>891</v>
      </c>
      <c r="P250" s="302">
        <f>1000*(I265/D73+I269/D78)</f>
        <v>0.17435897435897435</v>
      </c>
    </row>
    <row r="251" spans="1:16" ht="30" x14ac:dyDescent="0.25">
      <c r="A251" s="23"/>
      <c r="B251" s="23" t="s">
        <v>817</v>
      </c>
      <c r="C251" s="23" t="s">
        <v>626</v>
      </c>
      <c r="D251" s="62">
        <v>5</v>
      </c>
      <c r="E251" s="13"/>
      <c r="F251" s="277" t="s">
        <v>36</v>
      </c>
      <c r="G251" s="278" t="s">
        <v>37</v>
      </c>
      <c r="H251" s="278" t="s">
        <v>10</v>
      </c>
      <c r="I251" s="311" t="s">
        <v>59</v>
      </c>
    </row>
    <row r="252" spans="1:16" ht="30" x14ac:dyDescent="0.25">
      <c r="A252" s="248"/>
      <c r="B252" s="23" t="s">
        <v>491</v>
      </c>
      <c r="C252" s="23" t="s">
        <v>494</v>
      </c>
      <c r="D252" s="49">
        <v>15</v>
      </c>
      <c r="E252" s="13"/>
      <c r="F252" s="138" t="s">
        <v>454</v>
      </c>
      <c r="G252" s="23" t="s">
        <v>440</v>
      </c>
      <c r="H252" s="23" t="s">
        <v>441</v>
      </c>
      <c r="I252" s="166">
        <f>I239+D250+I248+D262</f>
        <v>51.330033351553993</v>
      </c>
    </row>
    <row r="253" spans="1:16" ht="30" x14ac:dyDescent="0.25">
      <c r="A253" s="248"/>
      <c r="B253" s="23" t="s">
        <v>617</v>
      </c>
      <c r="C253" s="23" t="s">
        <v>539</v>
      </c>
      <c r="D253" s="49">
        <v>0</v>
      </c>
      <c r="E253" s="13"/>
      <c r="F253" s="138" t="s">
        <v>460</v>
      </c>
      <c r="G253" s="23" t="s">
        <v>618</v>
      </c>
      <c r="H253" s="23" t="s">
        <v>567</v>
      </c>
      <c r="I253" s="166">
        <f>I240+D251+I249+D263</f>
        <v>18.054123446301464</v>
      </c>
    </row>
    <row r="254" spans="1:16" ht="15.75" x14ac:dyDescent="0.25">
      <c r="A254" s="248"/>
      <c r="B254" s="23" t="s">
        <v>492</v>
      </c>
      <c r="C254" s="23" t="s">
        <v>495</v>
      </c>
      <c r="D254" s="49">
        <v>20</v>
      </c>
      <c r="E254" s="13"/>
      <c r="F254" s="138" t="s">
        <v>461</v>
      </c>
      <c r="G254" s="23" t="s">
        <v>676</v>
      </c>
      <c r="H254" s="23" t="s">
        <v>677</v>
      </c>
      <c r="I254" s="166">
        <f>I241+D264</f>
        <v>7.6221911597110132</v>
      </c>
      <c r="J254" s="135"/>
    </row>
    <row r="255" spans="1:16" ht="15.75" x14ac:dyDescent="0.25">
      <c r="A255" s="248" t="s">
        <v>458</v>
      </c>
      <c r="B255" s="34" t="s">
        <v>429</v>
      </c>
      <c r="C255" s="34" t="s">
        <v>435</v>
      </c>
      <c r="D255" s="55">
        <f>SUM(D250:D254)</f>
        <v>65</v>
      </c>
      <c r="E255" s="13"/>
      <c r="F255" s="138" t="s">
        <v>462</v>
      </c>
      <c r="G255" s="23" t="s">
        <v>448</v>
      </c>
      <c r="H255" s="23" t="s">
        <v>449</v>
      </c>
      <c r="I255" s="166">
        <f>I242+D252+D265</f>
        <v>48.902751868477736</v>
      </c>
      <c r="J255" s="189"/>
    </row>
    <row r="256" spans="1:16" ht="15.75" x14ac:dyDescent="0.25">
      <c r="A256" s="282"/>
      <c r="B256" s="136"/>
      <c r="C256" s="32" t="s">
        <v>200</v>
      </c>
      <c r="D256" s="66">
        <f>D249-D255</f>
        <v>0</v>
      </c>
      <c r="E256" s="13"/>
      <c r="F256" s="138" t="s">
        <v>463</v>
      </c>
      <c r="G256" s="23" t="s">
        <v>619</v>
      </c>
      <c r="H256" s="23" t="s">
        <v>575</v>
      </c>
      <c r="I256" s="166">
        <f>I243+D253+D266</f>
        <v>0.2179972694784936</v>
      </c>
    </row>
    <row r="257" spans="1:16" ht="30" x14ac:dyDescent="0.25">
      <c r="A257" s="306"/>
      <c r="B257" s="306"/>
      <c r="C257" s="87" t="s">
        <v>437</v>
      </c>
      <c r="D257" s="70"/>
      <c r="E257" s="13"/>
      <c r="F257" s="138" t="s">
        <v>464</v>
      </c>
      <c r="G257" s="79" t="s">
        <v>502</v>
      </c>
      <c r="H257" s="79" t="s">
        <v>504</v>
      </c>
      <c r="I257" s="63">
        <f>I244+D267</f>
        <v>0.36907076322244509</v>
      </c>
    </row>
    <row r="258" spans="1:16" ht="15.75" x14ac:dyDescent="0.25">
      <c r="A258" s="148"/>
      <c r="B258" s="23" t="s">
        <v>384</v>
      </c>
      <c r="C258" s="23" t="s">
        <v>385</v>
      </c>
      <c r="D258" s="68">
        <f>D218</f>
        <v>61</v>
      </c>
      <c r="E258" s="13"/>
      <c r="F258" s="139" t="s">
        <v>506</v>
      </c>
      <c r="G258" s="167" t="s">
        <v>503</v>
      </c>
      <c r="H258" s="167" t="s">
        <v>505</v>
      </c>
      <c r="I258" s="250">
        <f>I245+D254+D268</f>
        <v>46.28127873837358</v>
      </c>
    </row>
    <row r="259" spans="1:16" ht="15.75" x14ac:dyDescent="0.25">
      <c r="A259" s="148"/>
      <c r="B259" s="23" t="s">
        <v>393</v>
      </c>
      <c r="C259" s="23" t="s">
        <v>438</v>
      </c>
      <c r="D259" s="68">
        <f>D220</f>
        <v>1</v>
      </c>
      <c r="E259" s="13"/>
      <c r="F259" s="23"/>
      <c r="G259" s="23"/>
      <c r="H259" s="23"/>
      <c r="I259" s="23"/>
    </row>
    <row r="260" spans="1:16" ht="15.75" x14ac:dyDescent="0.25">
      <c r="A260" s="248" t="s">
        <v>413</v>
      </c>
      <c r="B260" s="34" t="s">
        <v>456</v>
      </c>
      <c r="C260" s="34" t="s">
        <v>457</v>
      </c>
      <c r="D260" s="55">
        <f>D258+D259</f>
        <v>62</v>
      </c>
      <c r="E260" s="13"/>
      <c r="F260" s="341" t="s">
        <v>924</v>
      </c>
      <c r="G260" s="342"/>
      <c r="H260" s="342"/>
      <c r="I260" s="343"/>
    </row>
    <row r="261" spans="1:16" ht="30" x14ac:dyDescent="0.25">
      <c r="A261" s="23"/>
      <c r="B261" s="23" t="s">
        <v>442</v>
      </c>
      <c r="C261" s="23" t="s">
        <v>443</v>
      </c>
      <c r="D261" s="49">
        <v>22</v>
      </c>
      <c r="E261" s="13"/>
      <c r="F261" s="277" t="s">
        <v>36</v>
      </c>
      <c r="G261" s="278" t="s">
        <v>37</v>
      </c>
      <c r="H261" s="278" t="s">
        <v>10</v>
      </c>
      <c r="I261" s="311" t="s">
        <v>59</v>
      </c>
    </row>
    <row r="262" spans="1:16" ht="30" x14ac:dyDescent="0.25">
      <c r="A262" s="23"/>
      <c r="B262" s="23" t="s">
        <v>445</v>
      </c>
      <c r="C262" s="23" t="s">
        <v>446</v>
      </c>
      <c r="D262" s="49">
        <v>1</v>
      </c>
      <c r="E262" s="13"/>
      <c r="F262" s="249" t="s">
        <v>507</v>
      </c>
      <c r="G262" s="308" t="s">
        <v>808</v>
      </c>
      <c r="H262" s="308" t="s">
        <v>415</v>
      </c>
      <c r="I262" s="309">
        <f>D249+D260</f>
        <v>127</v>
      </c>
    </row>
    <row r="263" spans="1:16" ht="30" x14ac:dyDescent="0.25">
      <c r="A263" s="23"/>
      <c r="B263" s="23" t="s">
        <v>620</v>
      </c>
      <c r="C263" s="23" t="s">
        <v>568</v>
      </c>
      <c r="D263" s="49">
        <v>2</v>
      </c>
      <c r="E263" s="13"/>
      <c r="F263" s="138" t="s">
        <v>508</v>
      </c>
      <c r="G263" s="23" t="s">
        <v>809</v>
      </c>
      <c r="H263" s="23" t="s">
        <v>441</v>
      </c>
      <c r="I263" s="166">
        <f>I248+D250+D262</f>
        <v>39.200000000000003</v>
      </c>
    </row>
    <row r="264" spans="1:16" ht="30" x14ac:dyDescent="0.25">
      <c r="A264" s="23"/>
      <c r="B264" s="23" t="s">
        <v>672</v>
      </c>
      <c r="C264" s="23" t="s">
        <v>673</v>
      </c>
      <c r="D264" s="49">
        <v>2</v>
      </c>
      <c r="E264" s="13"/>
      <c r="F264" s="138" t="s">
        <v>509</v>
      </c>
      <c r="G264" s="23" t="s">
        <v>810</v>
      </c>
      <c r="H264" s="23" t="s">
        <v>567</v>
      </c>
      <c r="I264" s="166">
        <f>I249+D251+D263</f>
        <v>15.8</v>
      </c>
    </row>
    <row r="265" spans="1:16" ht="30" x14ac:dyDescent="0.25">
      <c r="A265" s="23"/>
      <c r="B265" s="23" t="s">
        <v>451</v>
      </c>
      <c r="C265" s="23" t="s">
        <v>452</v>
      </c>
      <c r="D265" s="49">
        <v>27</v>
      </c>
      <c r="E265" s="13"/>
      <c r="F265" s="138" t="s">
        <v>678</v>
      </c>
      <c r="G265" s="23" t="s">
        <v>811</v>
      </c>
      <c r="H265" s="23" t="s">
        <v>677</v>
      </c>
      <c r="I265" s="166">
        <f>D264</f>
        <v>2</v>
      </c>
    </row>
    <row r="266" spans="1:16" ht="30" x14ac:dyDescent="0.25">
      <c r="A266" s="23"/>
      <c r="B266" s="23" t="s">
        <v>621</v>
      </c>
      <c r="C266" s="23" t="s">
        <v>540</v>
      </c>
      <c r="D266" s="49">
        <v>0</v>
      </c>
      <c r="E266" s="13"/>
      <c r="F266" s="138" t="s">
        <v>679</v>
      </c>
      <c r="G266" s="23" t="s">
        <v>812</v>
      </c>
      <c r="H266" s="23" t="s">
        <v>449</v>
      </c>
      <c r="I266" s="166">
        <f>D252+D265</f>
        <v>42</v>
      </c>
      <c r="J266" s="189"/>
    </row>
    <row r="267" spans="1:16" ht="30" x14ac:dyDescent="0.25">
      <c r="A267" s="248"/>
      <c r="B267" s="23" t="s">
        <v>496</v>
      </c>
      <c r="C267" s="23" t="s">
        <v>497</v>
      </c>
      <c r="D267" s="49">
        <v>0</v>
      </c>
      <c r="E267" s="13"/>
      <c r="F267" s="138" t="s">
        <v>680</v>
      </c>
      <c r="G267" s="23" t="s">
        <v>813</v>
      </c>
      <c r="H267" s="23" t="s">
        <v>575</v>
      </c>
      <c r="I267" s="166">
        <f>D253+D266</f>
        <v>0</v>
      </c>
    </row>
    <row r="268" spans="1:16" ht="30" x14ac:dyDescent="0.25">
      <c r="A268" s="248"/>
      <c r="B268" s="23" t="s">
        <v>498</v>
      </c>
      <c r="C268" s="23" t="s">
        <v>499</v>
      </c>
      <c r="D268" s="49">
        <v>8</v>
      </c>
      <c r="E268" s="13"/>
      <c r="F268" s="138" t="s">
        <v>697</v>
      </c>
      <c r="G268" s="79" t="s">
        <v>814</v>
      </c>
      <c r="H268" s="79" t="s">
        <v>504</v>
      </c>
      <c r="I268" s="63">
        <f>D267</f>
        <v>0</v>
      </c>
    </row>
    <row r="269" spans="1:16" ht="15.75" x14ac:dyDescent="0.25">
      <c r="A269" s="248" t="s">
        <v>420</v>
      </c>
      <c r="B269" s="34" t="s">
        <v>456</v>
      </c>
      <c r="C269" s="34" t="s">
        <v>459</v>
      </c>
      <c r="D269" s="64">
        <f>SUM(D261:D268)</f>
        <v>62</v>
      </c>
      <c r="E269" s="13"/>
      <c r="F269" s="139" t="s">
        <v>724</v>
      </c>
      <c r="G269" s="167" t="s">
        <v>815</v>
      </c>
      <c r="H269" s="167" t="s">
        <v>505</v>
      </c>
      <c r="I269" s="250">
        <f>D254+D268</f>
        <v>28</v>
      </c>
    </row>
    <row r="270" spans="1:16" ht="15.75" x14ac:dyDescent="0.25">
      <c r="A270" s="282"/>
      <c r="B270" s="136"/>
      <c r="C270" s="32" t="s">
        <v>371</v>
      </c>
      <c r="D270" s="66">
        <f>D269-D260</f>
        <v>0</v>
      </c>
      <c r="E270" s="13"/>
    </row>
    <row r="271" spans="1:16" x14ac:dyDescent="0.25">
      <c r="F271" s="148"/>
      <c r="G271" s="23"/>
      <c r="H271" s="150"/>
      <c r="J271" s="150"/>
      <c r="K271" s="35"/>
    </row>
    <row r="272" spans="1:16" x14ac:dyDescent="0.25">
      <c r="A272" s="6"/>
      <c r="B272" s="6"/>
      <c r="C272" s="6"/>
      <c r="D272" s="6"/>
      <c r="E272" s="6"/>
      <c r="F272" s="6"/>
      <c r="G272" s="6"/>
      <c r="H272" s="6"/>
      <c r="I272" s="6"/>
      <c r="J272" s="6"/>
      <c r="K272" s="6"/>
      <c r="L272" s="6"/>
      <c r="M272" s="6"/>
      <c r="N272" s="6"/>
      <c r="O272" s="6"/>
      <c r="P272" s="6"/>
    </row>
    <row r="274" spans="1:10" x14ac:dyDescent="0.25">
      <c r="A274" s="86" t="s">
        <v>465</v>
      </c>
    </row>
    <row r="275" spans="1:10" x14ac:dyDescent="0.25">
      <c r="A275" s="332"/>
      <c r="B275" s="333"/>
      <c r="C275" s="333"/>
      <c r="D275" s="333"/>
      <c r="E275" s="333"/>
      <c r="F275" s="333"/>
      <c r="G275" s="333"/>
      <c r="H275" s="333"/>
      <c r="I275" s="334"/>
      <c r="J275" s="21"/>
    </row>
    <row r="276" spans="1:10" x14ac:dyDescent="0.25">
      <c r="A276" s="335"/>
      <c r="B276" s="336"/>
      <c r="C276" s="336"/>
      <c r="D276" s="336"/>
      <c r="E276" s="336"/>
      <c r="F276" s="336"/>
      <c r="G276" s="336"/>
      <c r="H276" s="336"/>
      <c r="I276" s="337"/>
    </row>
    <row r="277" spans="1:10" x14ac:dyDescent="0.25">
      <c r="A277" s="335"/>
      <c r="B277" s="336"/>
      <c r="C277" s="336"/>
      <c r="D277" s="336"/>
      <c r="E277" s="336"/>
      <c r="F277" s="336"/>
      <c r="G277" s="336"/>
      <c r="H277" s="336"/>
      <c r="I277" s="337"/>
    </row>
    <row r="278" spans="1:10" x14ac:dyDescent="0.25">
      <c r="A278" s="338"/>
      <c r="B278" s="339"/>
      <c r="C278" s="339"/>
      <c r="D278" s="339"/>
      <c r="E278" s="339"/>
      <c r="F278" s="339"/>
      <c r="G278" s="339"/>
      <c r="H278" s="339"/>
      <c r="I278" s="340"/>
    </row>
  </sheetData>
  <mergeCells count="13">
    <mergeCell ref="A11:F11"/>
    <mergeCell ref="A58:H61"/>
    <mergeCell ref="K236:P236"/>
    <mergeCell ref="K237:P237"/>
    <mergeCell ref="K85:P85"/>
    <mergeCell ref="K86:P86"/>
    <mergeCell ref="K182:P182"/>
    <mergeCell ref="K183:P183"/>
    <mergeCell ref="A275:I278"/>
    <mergeCell ref="F260:I260"/>
    <mergeCell ref="F225:I225"/>
    <mergeCell ref="F214:I214"/>
    <mergeCell ref="A57:H57"/>
  </mergeCells>
  <phoneticPr fontId="11" type="noConversion"/>
  <dataValidations count="13">
    <dataValidation type="list" allowBlank="1" showInputMessage="1" showErrorMessage="1" sqref="G55:G56" xr:uid="{D2166BDE-1F75-421F-9FAE-10E90022CD02}">
      <formula1>"(Välj),TJ,ton,m3,Nm3,Annan enhet (ange i kommentarsfältet)"</formula1>
    </dataValidation>
    <dataValidation type="list" allowBlank="1" showInputMessage="1" showErrorMessage="1" sqref="D48 D43:D46" xr:uid="{0FD7AF0C-206B-471F-9155-C26C505BE63D}">
      <formula1>"(Välj),Förpackningskartong,Förpackningspapper,Wellpappmaterial,Tryckpapper,Tidningspapper,Mjukpapper,Övrigt (ange i kommentarsfältet)"</formula1>
    </dataValidation>
    <dataValidation type="list" allowBlank="1" showInputMessage="1" showErrorMessage="1" sqref="D49:D50" xr:uid="{A002324F-6439-4211-BF9A-25F7F561D2B4}">
      <formula1>"(Välj),Kondens,Mottryck"</formula1>
    </dataValidation>
    <dataValidation type="list" allowBlank="1" showInputMessage="1" showErrorMessage="1" sqref="D39 D32 D21:D22" xr:uid="{52A52E76-838C-4135-9A94-DDFF138DB4D9}">
      <formula1>"(Välj),ECF-blekt,TCF-blekt,Ditionit,Väteperoxid,Ditionit+Väteperoxid,Oblekt"</formula1>
    </dataValidation>
    <dataValidation type="list" allowBlank="1" showInputMessage="1" showErrorMessage="1" sqref="D41:D42 D24 D34" xr:uid="{4E2C88EB-24E8-44B6-A58D-C4E5DAB4D720}">
      <formula1>"(Välj),Inköpta,Egenproducerade,I huvudsak inköpta,I huvudsak egenproducerade"</formula1>
    </dataValidation>
    <dataValidation type="list" allowBlank="1" showInputMessage="1" showErrorMessage="1" sqref="D37" xr:uid="{518E11A4-E6AD-4560-B3BC-0FE7FEA73A09}">
      <formula1>"(Välj),Avsvärtad,Ej avsvärtad"</formula1>
    </dataValidation>
    <dataValidation type="list" allowBlank="1" showInputMessage="1" showErrorMessage="1" sqref="D66" xr:uid="{A2DAE41A-ACAE-4E42-A797-807B4B84726E}">
      <formula1>"(Välj),m3fub,ton"</formula1>
    </dataValidation>
    <dataValidation type="list" allowBlank="1" showInputMessage="1" showErrorMessage="1" sqref="D30 D15:D17" xr:uid="{3D336ECC-A370-4566-B883-F39504B92E12}">
      <formula1>"(Välj),Löv - rundved,Löv - flis,Barr - rundved,Barr - flis"</formula1>
    </dataValidation>
    <dataValidation type="list" allowBlank="1" showInputMessage="1" showErrorMessage="1" sqref="D19" xr:uid="{C8D8C79F-05EC-4B61-88BE-A4B1319162F4}">
      <formula1>"(Välj),Pappersmassa,Dissolving,Annat"</formula1>
    </dataValidation>
    <dataValidation type="list" allowBlank="1" showInputMessage="1" showErrorMessage="1" sqref="D47" xr:uid="{0ECEC942-AF18-4E9E-9B0E-571A827C65FD}">
      <formula1>"(Välj),Fyllmedel,Bestrykning"</formula1>
    </dataValidation>
    <dataValidation type="list" allowBlank="1" showInputMessage="1" showErrorMessage="1" sqref="D28" xr:uid="{24A8B175-BDA1-485B-8998-E68F6C36BA70}">
      <formula1>"(Välj), I huvudsak egenproducerad kalk, Betydande mängd inköpt kalk"</formula1>
    </dataValidation>
    <dataValidation type="list" allowBlank="1" showInputMessage="1" showErrorMessage="1" sqref="G15:G17 G30" xr:uid="{72DBFBF7-8CF3-4371-813D-3EF254E80D91}">
      <formula1>"(Välj),m3fub,ton,%,Annan enhet (ange i kommentarsfältet)"</formula1>
    </dataValidation>
    <dataValidation type="list" allowBlank="1" showInputMessage="1" showErrorMessage="1" sqref="D55" xr:uid="{B234ED76-75A2-4B79-9736-0B675FF3B7C2}">
      <formula1>"(Välj),Lignin,Metanol,Annan (ange i kommentarsfältet),Ingen"</formula1>
    </dataValidation>
  </dataValidations>
  <printOptions gridLines="1"/>
  <pageMargins left="0.31496062992125984" right="0.31496062992125984" top="0.35433070866141736" bottom="0.35433070866141736" header="0.31496062992125984" footer="0.31496062992125984"/>
  <pageSetup paperSize="8" scale="80" pageOrder="overThenDown"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4F9970-DF1F-4429-A6D7-99B30CC6F4FD}">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customXml/itemProps2.xml><?xml version="1.0" encoding="utf-8"?>
<ds:datastoreItem xmlns:ds="http://schemas.openxmlformats.org/officeDocument/2006/customXml" ds:itemID="{F91D7CAD-2D70-4D20-95C9-203F6B995A4F}"/>
</file>

<file path=customXml/itemProps3.xml><?xml version="1.0" encoding="utf-8"?>
<ds:datastoreItem xmlns:ds="http://schemas.openxmlformats.org/officeDocument/2006/customXml" ds:itemID="{CE78FFB4-874E-4E8F-98CD-5104BDDBC9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Sulfat, NSSC och RCF+Papper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Fernandez, Hanna</dc:creator>
  <cp:keywords/>
  <dc:description/>
  <cp:lastModifiedBy>Elin  Svensson</cp:lastModifiedBy>
  <cp:revision/>
  <cp:lastPrinted>2024-02-09T10:10:46Z</cp:lastPrinted>
  <dcterms:created xsi:type="dcterms:W3CDTF">2018-09-17T06:42:26Z</dcterms:created>
  <dcterms:modified xsi:type="dcterms:W3CDTF">2025-07-08T06:30:20Z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