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halmersindustriteknik.sharepoint.com/sites/CITRenergy/Delade dokument/General/Projekt/Pågående/25052 Beräkningsmodell energinyckeltal NV/Arbetsmaterial/Korrigerade modeller/"/>
    </mc:Choice>
  </mc:AlternateContent>
  <xr:revisionPtr revIDLastSave="57" documentId="8_{FF45109A-B903-458B-B3D4-9746F2505563}" xr6:coauthVersionLast="47" xr6:coauthVersionMax="47" xr10:uidLastSave="{4B6F8F73-C62B-43DD-9AD1-E5AF78C83271}"/>
  <bookViews>
    <workbookView xWindow="-120" yWindow="-120" windowWidth="29040" windowHeight="15720" xr2:uid="{81CFD70E-8034-4963-A311-A79E2EEFE8E7}"/>
  </bookViews>
  <sheets>
    <sheet name="Sulfat, NSSC och RCF+Papper"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0" i="2" l="1"/>
  <c r="N245" i="2"/>
  <c r="P191" i="2"/>
  <c r="N133" i="2"/>
  <c r="P98" i="2"/>
  <c r="P95" i="2"/>
  <c r="P92" i="2"/>
  <c r="P245" i="2"/>
  <c r="P242" i="2"/>
  <c r="N242" i="2"/>
  <c r="P195" i="2"/>
  <c r="P192" i="2"/>
  <c r="P189" i="2"/>
  <c r="P188" i="2"/>
  <c r="N130" i="2"/>
  <c r="N98" i="2"/>
  <c r="N95" i="2"/>
  <c r="P94" i="2"/>
  <c r="N94" i="2"/>
  <c r="N92" i="2"/>
  <c r="P91" i="2"/>
  <c r="N91" i="2"/>
  <c r="D242" i="2"/>
  <c r="D245" i="2" l="1"/>
  <c r="I228" i="2"/>
  <c r="I186" i="2"/>
  <c r="I269" i="2" l="1"/>
  <c r="P248" i="2" s="1"/>
  <c r="I268" i="2"/>
  <c r="I267" i="2"/>
  <c r="I266" i="2"/>
  <c r="I265" i="2"/>
  <c r="P247" i="2" s="1"/>
  <c r="P249" i="2" l="1"/>
  <c r="P250" i="2"/>
  <c r="I223" i="2"/>
  <c r="P194" i="2" s="1"/>
  <c r="I221" i="2"/>
  <c r="I220" i="2"/>
  <c r="I219" i="2"/>
  <c r="P193" i="2" s="1"/>
  <c r="I222" i="2"/>
  <c r="P196" i="2" l="1"/>
  <c r="D173" i="2"/>
  <c r="D198" i="2" l="1"/>
  <c r="D197" i="2"/>
  <c r="D201" i="2" l="1"/>
  <c r="I229" i="2"/>
  <c r="I231" i="2" s="1"/>
  <c r="D90" i="2"/>
  <c r="P100" i="2" s="1"/>
  <c r="N100" i="2" l="1"/>
  <c r="D195" i="2" l="1"/>
  <c r="D248" i="2" l="1"/>
  <c r="D174" i="2" l="1"/>
  <c r="D69" i="2" l="1"/>
  <c r="I203" i="2" l="1"/>
  <c r="I218" i="2" s="1"/>
  <c r="I202" i="2"/>
  <c r="I217" i="2" s="1"/>
  <c r="I249" i="2"/>
  <c r="I264" i="2" s="1"/>
  <c r="I248" i="2"/>
  <c r="I263" i="2" s="1"/>
  <c r="I134" i="2"/>
  <c r="I133" i="2"/>
  <c r="D175" i="2"/>
  <c r="D177" i="2"/>
  <c r="D152" i="2"/>
  <c r="D176" i="2"/>
  <c r="D151" i="2"/>
  <c r="D115" i="2"/>
  <c r="D113" i="2"/>
  <c r="D114" i="2"/>
  <c r="D116" i="2"/>
  <c r="D230" i="2"/>
  <c r="D99" i="2"/>
  <c r="D80" i="2"/>
  <c r="N128" i="2" l="1"/>
  <c r="P128" i="2"/>
  <c r="P89" i="2"/>
  <c r="N89" i="2"/>
  <c r="P244" i="2"/>
  <c r="P246" i="2"/>
  <c r="P243" i="2"/>
  <c r="P241" i="2"/>
  <c r="P187" i="2"/>
  <c r="P190" i="2"/>
  <c r="D214" i="2"/>
  <c r="D150" i="2"/>
  <c r="D155" i="2" s="1"/>
  <c r="D269" i="2" l="1"/>
  <c r="D259" i="2" l="1"/>
  <c r="D255" i="2"/>
  <c r="N142" i="2" l="1"/>
  <c r="D130" i="2" l="1"/>
  <c r="D132" i="2" s="1"/>
  <c r="D137" i="2" s="1"/>
  <c r="D141" i="2" l="1"/>
  <c r="D208" i="2"/>
  <c r="D215" i="2" l="1"/>
  <c r="D221" i="2"/>
  <c r="I190" i="2" s="1"/>
  <c r="D186" i="2"/>
  <c r="I227" i="2" s="1"/>
  <c r="D156" i="2"/>
  <c r="D102" i="2"/>
  <c r="D103" i="2" s="1"/>
  <c r="D104" i="2" s="1"/>
  <c r="D237" i="2"/>
  <c r="I216" i="2" l="1"/>
  <c r="P186" i="2" s="1"/>
  <c r="N186" i="2"/>
  <c r="D117" i="2"/>
  <c r="I89" i="2" s="1"/>
  <c r="I230" i="2"/>
  <c r="I124" i="2"/>
  <c r="I135" i="2" s="1"/>
  <c r="I144" i="2" s="1"/>
  <c r="I158" i="2" s="1"/>
  <c r="I195" i="2" s="1"/>
  <c r="D187" i="2"/>
  <c r="I93" i="2"/>
  <c r="P97" i="2" s="1"/>
  <c r="D231" i="2"/>
  <c r="I92" i="2" l="1"/>
  <c r="I90" i="2"/>
  <c r="I86" i="2"/>
  <c r="I88" i="2"/>
  <c r="I91" i="2"/>
  <c r="P96" i="2" s="1"/>
  <c r="P99" i="2" s="1"/>
  <c r="N135" i="2"/>
  <c r="I87" i="2"/>
  <c r="I85" i="2"/>
  <c r="P90" i="2" s="1"/>
  <c r="I208" i="2"/>
  <c r="D247" i="2"/>
  <c r="D238" i="2"/>
  <c r="D239" i="2" s="1"/>
  <c r="D241" i="2" l="1"/>
  <c r="D244" i="2"/>
  <c r="N193" i="2"/>
  <c r="I102" i="2"/>
  <c r="I115" i="2" s="1"/>
  <c r="N96" i="2" s="1"/>
  <c r="D249" i="2"/>
  <c r="I139" i="2"/>
  <c r="I145" i="2"/>
  <c r="I161" i="2" s="1"/>
  <c r="I198" i="2" s="1"/>
  <c r="I146" i="2"/>
  <c r="I162" i="2" s="1"/>
  <c r="I199" i="2" s="1"/>
  <c r="I138" i="2"/>
  <c r="D256" i="2" l="1"/>
  <c r="I244" i="2"/>
  <c r="I212" i="2"/>
  <c r="I211" i="2"/>
  <c r="N137" i="2"/>
  <c r="I104" i="2"/>
  <c r="I119" i="2" s="1"/>
  <c r="N136" i="2"/>
  <c r="N138" i="2" s="1"/>
  <c r="I103" i="2"/>
  <c r="I118" i="2" s="1"/>
  <c r="I150" i="2"/>
  <c r="I140" i="2"/>
  <c r="I152" i="2"/>
  <c r="I97" i="2" s="1"/>
  <c r="I109" i="2" s="1"/>
  <c r="I143" i="2"/>
  <c r="I142" i="2"/>
  <c r="I153" i="2" s="1"/>
  <c r="I100" i="2" s="1"/>
  <c r="I141" i="2"/>
  <c r="I151" i="2" s="1"/>
  <c r="P93" i="2"/>
  <c r="N97" i="2" l="1"/>
  <c r="N99" i="2" s="1"/>
  <c r="N194" i="2"/>
  <c r="N196" i="2"/>
  <c r="I241" i="2"/>
  <c r="I254" i="2" s="1"/>
  <c r="I245" i="2"/>
  <c r="I258" i="2" s="1"/>
  <c r="N248" i="2" s="1"/>
  <c r="I160" i="2"/>
  <c r="I101" i="2" s="1"/>
  <c r="I159" i="2"/>
  <c r="N195" i="2"/>
  <c r="I257" i="2"/>
  <c r="I96" i="2"/>
  <c r="I107" i="2" s="1"/>
  <c r="I157" i="2"/>
  <c r="I99" i="2"/>
  <c r="I147" i="2"/>
  <c r="I156" i="2"/>
  <c r="I113" i="2" l="1"/>
  <c r="N90" i="2"/>
  <c r="N247" i="2"/>
  <c r="N250" i="2"/>
  <c r="P132" i="2"/>
  <c r="P133" i="2"/>
  <c r="I193" i="2"/>
  <c r="I206" i="2" s="1"/>
  <c r="I239" i="2"/>
  <c r="I252" i="2" s="1"/>
  <c r="I194" i="2"/>
  <c r="I207" i="2" s="1"/>
  <c r="I240" i="2"/>
  <c r="I253" i="2" s="1"/>
  <c r="I196" i="2"/>
  <c r="I209" i="2" s="1"/>
  <c r="N188" i="2" s="1"/>
  <c r="I242" i="2"/>
  <c r="I255" i="2" s="1"/>
  <c r="I197" i="2"/>
  <c r="I210" i="2" s="1"/>
  <c r="N191" i="2" s="1"/>
  <c r="I243" i="2"/>
  <c r="I256" i="2" s="1"/>
  <c r="I98" i="2"/>
  <c r="I116" i="2" s="1"/>
  <c r="N249" i="2"/>
  <c r="N129" i="2"/>
  <c r="N132" i="2"/>
  <c r="N134" i="2"/>
  <c r="N131" i="2"/>
  <c r="D258" i="2"/>
  <c r="N241" i="2" l="1"/>
  <c r="N190" i="2"/>
  <c r="N189" i="2"/>
  <c r="N244" i="2"/>
  <c r="N246" i="2"/>
  <c r="N243" i="2"/>
  <c r="D260" i="2"/>
  <c r="I262" i="2" s="1"/>
  <c r="P240" i="2" s="1"/>
  <c r="N192" i="2" l="1"/>
  <c r="N187" i="2"/>
  <c r="I236" i="2"/>
  <c r="N240" i="2" s="1"/>
  <c r="D270" i="2"/>
  <c r="I108" i="2"/>
  <c r="I110" i="2"/>
  <c r="I117" i="2"/>
  <c r="I114" i="2" l="1"/>
  <c r="N9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Åkesson, Olof</author>
  </authors>
  <commentList>
    <comment ref="C85" authorId="0" shapeId="0" xr:uid="{54107832-CE43-4BEE-B994-2A923B05ADDE}">
      <text>
        <r>
          <rPr>
            <b/>
            <sz val="9"/>
            <color indexed="81"/>
            <rFont val="Tahoma"/>
            <family val="2"/>
          </rPr>
          <t>Åkesson, Olof:</t>
        </r>
        <r>
          <rPr>
            <sz val="9"/>
            <color indexed="81"/>
            <rFont val="Tahoma"/>
            <family val="2"/>
          </rPr>
          <t xml:space="preserve">
el från egen kraftproduktion, men utanför brukets systemgräns, t ex egen ägd vindkraft räknas som inköpt el</t>
        </r>
      </text>
    </comment>
    <comment ref="C124" authorId="0" shapeId="0" xr:uid="{8CE384BD-404B-4B49-99C3-BA7CB20184D8}">
      <text>
        <r>
          <rPr>
            <b/>
            <sz val="9"/>
            <color indexed="81"/>
            <rFont val="Tahoma"/>
            <family val="2"/>
          </rPr>
          <t>Åkesson, Olof:</t>
        </r>
        <r>
          <rPr>
            <sz val="9"/>
            <color indexed="81"/>
            <rFont val="Tahoma"/>
            <family val="2"/>
          </rPr>
          <t xml:space="preserve">
Sotånga och ånga som används för att producera kondensel räknas inte in i producerad ånga.</t>
        </r>
      </text>
    </comment>
    <comment ref="C125" authorId="0" shapeId="0" xr:uid="{B6DDB640-8EC2-491C-BE79-09528AC6E0CA}">
      <text>
        <r>
          <rPr>
            <b/>
            <sz val="9"/>
            <color indexed="81"/>
            <rFont val="Tahoma"/>
            <family val="2"/>
          </rPr>
          <t>Åkesson, Olof:</t>
        </r>
        <r>
          <rPr>
            <sz val="9"/>
            <color indexed="81"/>
            <rFont val="Tahoma"/>
            <family val="2"/>
          </rPr>
          <t xml:space="preserve">
Sotånga och ånga som används för att producera kondensel räknas inte in i producerad ånga.</t>
        </r>
      </text>
    </comment>
    <comment ref="C157" authorId="0" shapeId="0" xr:uid="{67B6167E-3136-42E4-A876-6F86347FF8F1}">
      <text>
        <r>
          <rPr>
            <b/>
            <sz val="9"/>
            <color indexed="81"/>
            <rFont val="Tahoma"/>
            <family val="2"/>
          </rPr>
          <t>Åkesson, Olof:</t>
        </r>
        <r>
          <rPr>
            <sz val="9"/>
            <color indexed="81"/>
            <rFont val="Tahoma"/>
            <family val="2"/>
          </rPr>
          <t xml:space="preserve">
Se PM avsnitt om  återvinning av sekundärvärme</t>
        </r>
      </text>
    </comment>
  </commentList>
</comments>
</file>

<file path=xl/sharedStrings.xml><?xml version="1.0" encoding="utf-8"?>
<sst xmlns="http://schemas.openxmlformats.org/spreadsheetml/2006/main" count="1262" uniqueCount="947">
  <si>
    <r>
      <t>Grönt med</t>
    </r>
    <r>
      <rPr>
        <b/>
        <sz val="11"/>
        <color rgb="FF0070C0"/>
        <rFont val="Calibri"/>
        <family val="2"/>
        <scheme val="minor"/>
      </rPr>
      <t xml:space="preserve"> blå text</t>
    </r>
    <r>
      <rPr>
        <b/>
        <sz val="11"/>
        <color theme="1"/>
        <rFont val="Calibri"/>
        <family val="2"/>
        <scheme val="minor"/>
      </rPr>
      <t xml:space="preserve"> = Celler där data ska läggas in</t>
    </r>
  </si>
  <si>
    <t>Gult med svart text = Beräknade data</t>
  </si>
  <si>
    <t>NAMN PÅ BRUK:</t>
  </si>
  <si>
    <t>Blå = Beräknade nyckeltal</t>
  </si>
  <si>
    <t>ORT:</t>
  </si>
  <si>
    <t>SKOGEBORG</t>
  </si>
  <si>
    <t>Orange = Kontroll</t>
  </si>
  <si>
    <t>Rosa = Celler där data hämtas från annan cell</t>
  </si>
  <si>
    <t>METADATA</t>
  </si>
  <si>
    <t>Område</t>
  </si>
  <si>
    <t>Förklaring</t>
  </si>
  <si>
    <t>Värde</t>
  </si>
  <si>
    <t>Kommentar</t>
  </si>
  <si>
    <t>Blekning</t>
  </si>
  <si>
    <r>
      <t xml:space="preserve">Ange vilken/vilka typ(er) av blekning som används, och massaproduktion av respektive typ
</t>
    </r>
    <r>
      <rPr>
        <i/>
        <sz val="11"/>
        <color theme="1"/>
        <rFont val="Calibri"/>
        <family val="2"/>
        <scheme val="minor"/>
      </rPr>
      <t>[Infoga rader efter behov (om flera typer av blekning)]</t>
    </r>
  </si>
  <si>
    <t>(Välj)</t>
  </si>
  <si>
    <t>ADt</t>
  </si>
  <si>
    <t>Produktion av blekkemikalier</t>
  </si>
  <si>
    <t>Ange om använda blekkemikalier är inköpta eller egenproducerade</t>
  </si>
  <si>
    <t>-</t>
  </si>
  <si>
    <t>Kappatal</t>
  </si>
  <si>
    <t>Ange kappatal i sulfatmassakoket</t>
  </si>
  <si>
    <t>Papper</t>
  </si>
  <si>
    <t>Typ av papper/kartong</t>
  </si>
  <si>
    <r>
      <t xml:space="preserve">Ange vilken/vilka typ(er) av papper/kartong som produceras, och produktion av respektive typ
</t>
    </r>
    <r>
      <rPr>
        <i/>
        <sz val="11"/>
        <color theme="1"/>
        <rFont val="Calibri"/>
        <family val="2"/>
        <scheme val="minor"/>
      </rPr>
      <t>[Infoga rader efter behov (om flera typer av papper/kartong)]</t>
    </r>
  </si>
  <si>
    <t>ton</t>
  </si>
  <si>
    <t>Energisystem</t>
  </si>
  <si>
    <t>Turbiner</t>
  </si>
  <si>
    <r>
      <t xml:space="preserve">Ange typ av turbin (kondens/mottryck) och antal
</t>
    </r>
    <r>
      <rPr>
        <i/>
        <sz val="11"/>
        <color theme="1"/>
        <rFont val="Calibri"/>
        <family val="2"/>
        <scheme val="minor"/>
      </rPr>
      <t>[Infoga rader efter behov (om flera typer av turbiner)]</t>
    </r>
  </si>
  <si>
    <t>Ångtryck</t>
  </si>
  <si>
    <r>
      <t xml:space="preserve">Lista de ångtryck som används i processen. 
</t>
    </r>
    <r>
      <rPr>
        <i/>
        <sz val="11"/>
        <color theme="1"/>
        <rFont val="Calibri"/>
        <family val="2"/>
        <scheme val="minor"/>
      </rPr>
      <t>[Infoga rader efter behov]</t>
    </r>
  </si>
  <si>
    <t>bar(a)</t>
  </si>
  <si>
    <t>[Kommentera vilka processavsnitt som använder respektive ångtryck]</t>
  </si>
  <si>
    <t>Produktion av specialprodukt</t>
  </si>
  <si>
    <r>
      <t xml:space="preserve">Lista de specialprodukter som produceras vid bruket, och produktion av respektive typ
</t>
    </r>
    <r>
      <rPr>
        <i/>
        <sz val="11"/>
        <color theme="1"/>
        <rFont val="Calibri"/>
        <family val="2"/>
        <scheme val="minor"/>
      </rPr>
      <t>[Infoga rader efter behov]</t>
    </r>
  </si>
  <si>
    <t>PRODUKTION</t>
  </si>
  <si>
    <t>Ekvation</t>
  </si>
  <si>
    <t>Benämning</t>
  </si>
  <si>
    <t>M1</t>
  </si>
  <si>
    <t>Ma pump sulf</t>
  </si>
  <si>
    <t>M2</t>
  </si>
  <si>
    <t>V1</t>
  </si>
  <si>
    <t>Ved sulf</t>
  </si>
  <si>
    <t xml:space="preserve">ved/flis till produktion av sulfatmassa </t>
  </si>
  <si>
    <t>V2</t>
  </si>
  <si>
    <t>M3</t>
  </si>
  <si>
    <t>Ma avsalu sulf</t>
  </si>
  <si>
    <t>såld sulfatmassa (avsalumassa)</t>
  </si>
  <si>
    <t>M4</t>
  </si>
  <si>
    <t>M5</t>
  </si>
  <si>
    <t>Ma ink</t>
  </si>
  <si>
    <t>inköpt massa</t>
  </si>
  <si>
    <t>P1</t>
  </si>
  <si>
    <t>Pa tot</t>
  </si>
  <si>
    <t>MP1</t>
  </si>
  <si>
    <t>Slutprod</t>
  </si>
  <si>
    <t>summa slutprodukter massa och papper</t>
  </si>
  <si>
    <t>ADt + ton</t>
  </si>
  <si>
    <t>ELFÖRBRUKNING</t>
  </si>
  <si>
    <t>TJ</t>
  </si>
  <si>
    <t>el ink</t>
  </si>
  <si>
    <t>E11</t>
  </si>
  <si>
    <t>el rens sulf gem</t>
  </si>
  <si>
    <t>gemensam elförbrukning som fördelats till, eller med utgångspunkt från andel av uppmätt förbrukning hänförts till renseriet (sulfatmassans andel)</t>
  </si>
  <si>
    <t>E12</t>
  </si>
  <si>
    <t>gemensam elförbrukning som fördelats till, eller med utgångspunkt från andel av uppmätt förbrukning hänförts till produktion av sulfat-pumpmassa (exkl. renseri)</t>
  </si>
  <si>
    <t>el såld</t>
  </si>
  <si>
    <t>el såld till elnätet</t>
  </si>
  <si>
    <t>E13</t>
  </si>
  <si>
    <t>el tork sulf gem</t>
  </si>
  <si>
    <t>E1</t>
  </si>
  <si>
    <t>El tot tillf</t>
  </si>
  <si>
    <t>Total elförbrukning i massabruket beräknad från produktion och handel (tillförselsidan)</t>
  </si>
  <si>
    <t>E14</t>
  </si>
  <si>
    <t>el rens uppm</t>
  </si>
  <si>
    <t>E15</t>
  </si>
  <si>
    <t>uppmätt elförbrukning för produktion av sulfat-pumpmassa, exkl. el till renseriet</t>
  </si>
  <si>
    <t>E16</t>
  </si>
  <si>
    <t>el tork sulf uppm</t>
  </si>
  <si>
    <t>uppmätt elförbrukning för torkning av sulfat-pumpmassa till avsalumassa</t>
  </si>
  <si>
    <t>E17</t>
  </si>
  <si>
    <t>el uppsl gem</t>
  </si>
  <si>
    <t>gemensam elförbrukning som fördelats till, eller med utgångspunkt från andel av uppmätt förbrukning hänförts till uppslagning av inköpt massa</t>
  </si>
  <si>
    <t>E18</t>
  </si>
  <si>
    <t>el pa gem</t>
  </si>
  <si>
    <t>gemensam elförbrukning som fördelats till, eller med utgångspunkt från andel av uppmätt förbrukning hänförts till själva pappersproduktionen</t>
  </si>
  <si>
    <t>el uppsl uppm</t>
  </si>
  <si>
    <t>uppmätt elförbrukning för uppslagning av inköpt massa</t>
  </si>
  <si>
    <t>el pa uppm</t>
  </si>
  <si>
    <t>uppmätt elförbrukning för själva pappersproduktionen</t>
  </si>
  <si>
    <t>E19</t>
  </si>
  <si>
    <t>el rens sulf br</t>
  </si>
  <si>
    <t>E2</t>
  </si>
  <si>
    <t>el proc uppm</t>
  </si>
  <si>
    <t>Summa elförbrukning som uppmätts specifikt för de olika processavsnitten</t>
  </si>
  <si>
    <t>E20</t>
  </si>
  <si>
    <t>el gem uppm</t>
  </si>
  <si>
    <t>uppmätt elförbrukning för gemensamma funktioner, dvs el som används för t.ex. vattenrening, kontor, underhållsverkstad och som inte används i elpannor för värmeproduktion</t>
  </si>
  <si>
    <t>E21</t>
  </si>
  <si>
    <t>el tork sulf br</t>
  </si>
  <si>
    <t>el br</t>
  </si>
  <si>
    <t>elförbrukning för produktion av värme i elpannor och el till övrig panndrift (användning av el som ”bränsle”)</t>
  </si>
  <si>
    <t>E22</t>
  </si>
  <si>
    <t>E3</t>
  </si>
  <si>
    <t>E23</t>
  </si>
  <si>
    <t>E4</t>
  </si>
  <si>
    <t>el bal</t>
  </si>
  <si>
    <t>E24</t>
  </si>
  <si>
    <t>E5</t>
  </si>
  <si>
    <t>el gem</t>
  </si>
  <si>
    <t>el som förbrukas i gemensamma funktioner eller ingår i gemensam balanspost</t>
  </si>
  <si>
    <t>E25</t>
  </si>
  <si>
    <t>el uppsl br</t>
  </si>
  <si>
    <t xml:space="preserve">el gem förd rens </t>
  </si>
  <si>
    <t xml:space="preserve">del av gemensam elförbrukning (inkl. gemensam balanspost) som kan fördelas till vedhantering och renseri baserat på rimliga antaganden och uppskattningar </t>
  </si>
  <si>
    <t>E26</t>
  </si>
  <si>
    <t>el pa br</t>
  </si>
  <si>
    <t xml:space="preserve">del av gemensam elförbrukning (inkl. gemensam balanspost) som kan fördelas till produktion av sulfat-pumpmassa (exkl. renseri) baserat på rimliga antaganden och uppskattningar </t>
  </si>
  <si>
    <t>el gem förd tork sulf</t>
  </si>
  <si>
    <t xml:space="preserve">del av gemensam elförbrukning (inkl. gemensam balanspost) som kan fördelas till torkning av sulfat-pumpmassa till avsalumassa baserat på rimliga antaganden och uppskattningar </t>
  </si>
  <si>
    <t>E27</t>
  </si>
  <si>
    <t>el rens sulf</t>
  </si>
  <si>
    <t>Förbrukning av el i renseriet (sulfatmassans del)</t>
  </si>
  <si>
    <t>E28</t>
  </si>
  <si>
    <t>el gem förd uppsl</t>
  </si>
  <si>
    <t>del av gemensam elförbrukning (inkl gemensam balanspost) som kan fördelas  till uppslagning av massa baserat på rimliga antaganden och uppskattningar</t>
  </si>
  <si>
    <t>E29</t>
  </si>
  <si>
    <t>Förbrukning av el för produktion av sulfat-pumpmassa (exkl. renseri)</t>
  </si>
  <si>
    <t>el gem förd pa</t>
  </si>
  <si>
    <t>del av gemensam elförbrukning (inkl gemensam balanspost) som kan fördelas till pappersproduktionen baserat på rimliga antaganden och uppskattningar</t>
  </si>
  <si>
    <t>E30</t>
  </si>
  <si>
    <t>E6</t>
  </si>
  <si>
    <t>el rens sulf uppm</t>
  </si>
  <si>
    <t>sulfatmassaproduktionens del av renseriets uppmätta elförbrukning</t>
  </si>
  <si>
    <t>E7</t>
  </si>
  <si>
    <t>E8</t>
  </si>
  <si>
    <t>el gem förd rens sulf</t>
  </si>
  <si>
    <t>E31</t>
  </si>
  <si>
    <t>El pump sulf</t>
  </si>
  <si>
    <t>Förbrukning av el för produktion av sulfat-pumpmassa</t>
  </si>
  <si>
    <t>E9</t>
  </si>
  <si>
    <t>E32</t>
  </si>
  <si>
    <t>E10</t>
  </si>
  <si>
    <t>el gem rest</t>
  </si>
  <si>
    <t>resterande gemensam elförbrukning som inte tydligt kan fördelas till specifika processavsnitt</t>
  </si>
  <si>
    <t>E33</t>
  </si>
  <si>
    <t>El tork sulf</t>
  </si>
  <si>
    <t>Förbrukning av el för torkning av sulfat-avsalumassa</t>
  </si>
  <si>
    <t>E34</t>
  </si>
  <si>
    <t>E35</t>
  </si>
  <si>
    <t>El uppsl</t>
  </si>
  <si>
    <t>Förbrukning av el för uppslagning av inköpt massa</t>
  </si>
  <si>
    <t>E36</t>
  </si>
  <si>
    <t>El pa</t>
  </si>
  <si>
    <t>Förbrukning av el för produktion av papper från pumpmassa</t>
  </si>
  <si>
    <t>NYCKELTAL</t>
  </si>
  <si>
    <t>E37</t>
  </si>
  <si>
    <t>E38</t>
  </si>
  <si>
    <t>E39</t>
  </si>
  <si>
    <t>E40</t>
  </si>
  <si>
    <t>E41</t>
  </si>
  <si>
    <t>E42</t>
  </si>
  <si>
    <t>E43</t>
  </si>
  <si>
    <t>E44</t>
  </si>
  <si>
    <t>Självförsörjningsgrad el</t>
  </si>
  <si>
    <t>VÄRMEFÖRBRUKNING</t>
  </si>
  <si>
    <t>q turb</t>
  </si>
  <si>
    <t>Q19</t>
  </si>
  <si>
    <t>q rens sulf gem</t>
  </si>
  <si>
    <t>gemensam värmeförbrukning som fördelats till, eller med utgångspunkt från andel av uppmätt förbrukning hänförts till renseriet (sulfatmassans andel)</t>
  </si>
  <si>
    <t>q dir</t>
  </si>
  <si>
    <t>Q20</t>
  </si>
  <si>
    <t>q fiber sulf gem</t>
  </si>
  <si>
    <t>gemensam värmeförbrukning som fördelats till, eller med utgångspunkt från andel av uppmätt förbrukning hänförts till produktion av sulfat-pumpmassa (exkl. renseri)</t>
  </si>
  <si>
    <t>q gp</t>
  </si>
  <si>
    <t>ånga producerad i starkgaspanna</t>
  </si>
  <si>
    <t>Q21</t>
  </si>
  <si>
    <t>q tork sulf gem</t>
  </si>
  <si>
    <t xml:space="preserve">gemensam värmeförbrukning som fördelats till, eller med utgångspunkt från andel av uppmätt förbrukning hänförts till torkning av sulfat-pumpmassa till avsalumassa </t>
  </si>
  <si>
    <t>q elp</t>
  </si>
  <si>
    <t>ånga producerad i elpanna</t>
  </si>
  <si>
    <t>Q22</t>
  </si>
  <si>
    <t>q övrp</t>
  </si>
  <si>
    <t>ånga som produceras i annan panna, ej ansluten till turbin</t>
  </si>
  <si>
    <t>Q23</t>
  </si>
  <si>
    <t>q vtn</t>
  </si>
  <si>
    <t xml:space="preserve">hetvatten som produceras i egen panna (t.ex. oljepanna eller elpanna)  </t>
  </si>
  <si>
    <t>Q24</t>
  </si>
  <si>
    <t>Q1</t>
  </si>
  <si>
    <t>q prod panna</t>
  </si>
  <si>
    <t>Q25</t>
  </si>
  <si>
    <t>q uppsl gem</t>
  </si>
  <si>
    <t>gemensam värmeförbrukning som fördelats till, eller med utgångspunkt från andel av uppmätt förbrukning hänförts till  uppslagning av inköpt massa</t>
  </si>
  <si>
    <t>q prod raff</t>
  </si>
  <si>
    <t>Q26</t>
  </si>
  <si>
    <t>q pa gem</t>
  </si>
  <si>
    <t>gemensam värmeförbrukning som fördelats till, eller med utgångspunkt från andel av uppmätt förbrukning hänförts till själva pappersproduktionen</t>
  </si>
  <si>
    <t>Q2</t>
  </si>
  <si>
    <t>q prod tot</t>
  </si>
  <si>
    <t>summa egenproducerad värme inkl raffinörer</t>
  </si>
  <si>
    <t>Kontroll (ska vara noll)</t>
  </si>
  <si>
    <t>q ink</t>
  </si>
  <si>
    <t>ånga  eller hetvatten som köps in från extern leverantör</t>
  </si>
  <si>
    <t>q prim ext</t>
  </si>
  <si>
    <t>Q3</t>
  </si>
  <si>
    <t>Q tot brutto</t>
  </si>
  <si>
    <t>brutto förbrukning av värme vid massa- och pappersbruket, beräknad från värmeproduktion</t>
  </si>
  <si>
    <t>q sek ext</t>
  </si>
  <si>
    <t>q rens sulf</t>
  </si>
  <si>
    <t>Förbrukning av värme i renseriet (sulfatmassans del)</t>
  </si>
  <si>
    <t>Q4</t>
  </si>
  <si>
    <t>Q tot netto</t>
  </si>
  <si>
    <t>netto förbrukning av värme vid massabruket, beräknad från värmeproduktion</t>
  </si>
  <si>
    <t>q rens uppm</t>
  </si>
  <si>
    <t>Q27</t>
  </si>
  <si>
    <t>q fiber sulf</t>
  </si>
  <si>
    <t>Förbrukning av värme för produktion av sulfat-pumpmassa (exkl. renseri)</t>
  </si>
  <si>
    <t>q fiber sulf uppm</t>
  </si>
  <si>
    <t>uppmätt förbrukning av primärvärme för produktion av sulfat-pumpmassa (exkl. renseri)</t>
  </si>
  <si>
    <t>Q28</t>
  </si>
  <si>
    <t>q tork sulf uppm</t>
  </si>
  <si>
    <t>uppmätt förbrukning av primärvärme för torkning av sulfat-avsalumassa</t>
  </si>
  <si>
    <t>Q31</t>
  </si>
  <si>
    <t>Q pump sulf</t>
  </si>
  <si>
    <t>Förbrukning av värme för produktion av sulfat-pumpmassa</t>
  </si>
  <si>
    <t>q uppsl uppm</t>
  </si>
  <si>
    <t>uppmätt förbrukning av primärvärme för uppslagning av inköpt massa</t>
  </si>
  <si>
    <t>Q32</t>
  </si>
  <si>
    <t>q pa uppm</t>
  </si>
  <si>
    <t>uppmätt förbrukning av primärvärme för själva pappersproduktionen</t>
  </si>
  <si>
    <t>Q29</t>
  </si>
  <si>
    <t>Förbrukning av värme för torkning av sulfat-avsalumassa</t>
  </si>
  <si>
    <t>Q5</t>
  </si>
  <si>
    <t>q proc uppm</t>
  </si>
  <si>
    <t>summa  primärvärmeförbrukning uppmätt specifikt för de olika processavsnitten</t>
  </si>
  <si>
    <t>Q30</t>
  </si>
  <si>
    <t>q gem uppm</t>
  </si>
  <si>
    <t>uppmätt förbrukning av primärvärme för gemensamma funktioner (t.ex. värme för vattenrening, kontor, underhållsverkstad). Inkluderar all uppmätt primärvärmeförbrukning som ej direkt kan hänföras till någon specifik del av produktionen eller till friblåsning</t>
  </si>
  <si>
    <t>Q33</t>
  </si>
  <si>
    <t>Q uppsl</t>
  </si>
  <si>
    <t>Förbrukning av värme för uppslagning av inköpt massa</t>
  </si>
  <si>
    <t>q fribl uppm</t>
  </si>
  <si>
    <t xml:space="preserve">uppmätt friblåsning av ånga som därmed inte nyttiggörs i produktionen </t>
  </si>
  <si>
    <t>Q34</t>
  </si>
  <si>
    <t>Q pa</t>
  </si>
  <si>
    <t>Förbrukning av värme för produktion av papper från pumpmassa</t>
  </si>
  <si>
    <t>Q6</t>
  </si>
  <si>
    <t>Q tot uppm</t>
  </si>
  <si>
    <t>total uppmätt primärvärmeförbrukning</t>
  </si>
  <si>
    <t>Q7</t>
  </si>
  <si>
    <t>q prim bal</t>
  </si>
  <si>
    <t>q rens→sek</t>
  </si>
  <si>
    <t>sekundärvärme som tillvaratas från renseriet</t>
  </si>
  <si>
    <t>GJ/ADt</t>
  </si>
  <si>
    <t>q fiber sulf→sek</t>
  </si>
  <si>
    <t xml:space="preserve">sekundärvärme som tillvaratas från produktionen av sulfat-pumpmassa (exkl. renseri). </t>
  </si>
  <si>
    <t>Q35</t>
  </si>
  <si>
    <t>q tork sulf→sek</t>
  </si>
  <si>
    <t xml:space="preserve">sekundärvärme som tillvaratas från torkningen av sulfat-avsalumassa </t>
  </si>
  <si>
    <t>Q36</t>
  </si>
  <si>
    <t>Q37</t>
  </si>
  <si>
    <t>Q38</t>
  </si>
  <si>
    <t>q uppsl→sek</t>
  </si>
  <si>
    <t xml:space="preserve">sekundärvärme som tillvaratas från uppslagningen av inköpt massa  </t>
  </si>
  <si>
    <t>Q39</t>
  </si>
  <si>
    <t>q pa→sek</t>
  </si>
  <si>
    <t>sekundärvärme som tillvaratas från själva pappersproduktionen</t>
  </si>
  <si>
    <t>q sek→rens</t>
  </si>
  <si>
    <t>sekundärvärme som används i renseriet</t>
  </si>
  <si>
    <t>q sek→fiber sulf</t>
  </si>
  <si>
    <t>sekundärvärme som används för produktion av sulfat-pumpmassa (exkl. renseri)</t>
  </si>
  <si>
    <t>q sek→tork sulf</t>
  </si>
  <si>
    <t>sekundärvärme som används för torkning av sulfat-avsalumassa</t>
  </si>
  <si>
    <t>Q40</t>
  </si>
  <si>
    <t>Q41</t>
  </si>
  <si>
    <t>q sek→uppsl</t>
  </si>
  <si>
    <t>sekundärvärme som används för uppslagning av inköpt massa</t>
  </si>
  <si>
    <t>q sek→pa</t>
  </si>
  <si>
    <t>sekundärvärme som används för själva pappersproduktionen </t>
  </si>
  <si>
    <t>Q8</t>
  </si>
  <si>
    <t>q sek bal</t>
  </si>
  <si>
    <t>Q42</t>
  </si>
  <si>
    <t>Q9</t>
  </si>
  <si>
    <t>q rens sulf→sek</t>
  </si>
  <si>
    <t>sulfatmassans del av sekundärvärme som tillvaratas från renseriet</t>
  </si>
  <si>
    <t>Q10</t>
  </si>
  <si>
    <t>Q44</t>
  </si>
  <si>
    <t>Q11</t>
  </si>
  <si>
    <t>q sek→rens sulf</t>
  </si>
  <si>
    <t>sulfatmassans del av sekundärvärmeanvändning i renseriet</t>
  </si>
  <si>
    <t>Q12</t>
  </si>
  <si>
    <t>Q13</t>
  </si>
  <si>
    <t>q gem</t>
  </si>
  <si>
    <t>värme som förbrukas i gemensamma funktioner eller ingår i gemensamma balansposter</t>
  </si>
  <si>
    <t>q gem förd rens</t>
  </si>
  <si>
    <t xml:space="preserve">del av gemensam värmeförbrukning (inkl. friblåsning och  gemensam balanspost) som kan fördelas till vedhantering och renseri baserat på rimliga antaganden och uppskattningar </t>
  </si>
  <si>
    <t>q gem förd fiber sulf</t>
  </si>
  <si>
    <t xml:space="preserve">del av gemensam värmeförbrukning (inkl. friblåsning och gemensam balanspost) som kan fördelas till produktion av sulfat-pumpmassa (exkl. renseri) baserat på rimliga antaganden och uppskattningar </t>
  </si>
  <si>
    <t>q gem förd tork sulf</t>
  </si>
  <si>
    <t xml:space="preserve">del av gemensam värmeförbrukning (inkl. friblåsning och gemensam balanspost) som kan fördelas till torkning av sulfat-pumpmassa till avsalumassa baserat på rimliga antaganden och uppskattningar </t>
  </si>
  <si>
    <t>q gem förd uppsl</t>
  </si>
  <si>
    <t>del av gemensam värmeförbrukning (inkl friblåsning och gemensam balanspost)  som kan fördelas till uppslagning av inköpt massa baserat på rimliga antaganden och uppskattningar</t>
  </si>
  <si>
    <t>q gem förd pa</t>
  </si>
  <si>
    <t>del av gemensam värmeförbrukning (inkl friblåsning och gemensam balanspost)  som kan fördelas till själva pappersproduktionen baserat på rimliga antaganden och uppskattningar</t>
  </si>
  <si>
    <t>Q14</t>
  </si>
  <si>
    <t>q rens sulf uppm</t>
  </si>
  <si>
    <t>sulfatmassans del av uppmätt värmeförbrukning i renseriet</t>
  </si>
  <si>
    <t>Q15</t>
  </si>
  <si>
    <t>Q16</t>
  </si>
  <si>
    <t>q gem förd rens sulf</t>
  </si>
  <si>
    <t>Q17</t>
  </si>
  <si>
    <t>Q18</t>
  </si>
  <si>
    <t>q gem rest</t>
  </si>
  <si>
    <t>resterande gemensam värmeförbrukning som inte tydligt kan fördelas till något av de olika processavsnitten</t>
  </si>
  <si>
    <t>br bio ink fast</t>
  </si>
  <si>
    <t>inköpt bark, skogsflis och andra fasta biobränslen</t>
  </si>
  <si>
    <t>br såld bark</t>
  </si>
  <si>
    <t>såld bark och annat fast biobränsle som uppkommit i vedhantering och renseri</t>
  </si>
  <si>
    <t>B9</t>
  </si>
  <si>
    <t>Br tot inre netto</t>
  </si>
  <si>
    <t>Summa förbrukning av bränslen, inre systemgräns</t>
  </si>
  <si>
    <t>B1</t>
  </si>
  <si>
    <t>Br bio fast inre</t>
  </si>
  <si>
    <t>bark eller annat fast biobränsle som används för värmeproduktion vid bruket (förbränns i pannor eller används för direktvärme)</t>
  </si>
  <si>
    <t>Kontroll balans fast biobränsle (ska vara noll)</t>
  </si>
  <si>
    <t>Bränsle som används för produktion av ånga och hetvatten i egna pannor</t>
  </si>
  <si>
    <t>B10</t>
  </si>
  <si>
    <t>br pump sulf panna</t>
  </si>
  <si>
    <t>bränsle som används för att producera värme i form av ånga eller hetvatten fördelad till produktion av sulfat-pumpmassa</t>
  </si>
  <si>
    <t>br fast bio panna</t>
  </si>
  <si>
    <t>B11</t>
  </si>
  <si>
    <t>br tork sulf panna</t>
  </si>
  <si>
    <t>bränsle som används för att producera värme i form av ånga eller hetvatten fördelad till torkning av sulfat-pumpmassa till avsalumassa</t>
  </si>
  <si>
    <t>br flyt bio panna</t>
  </si>
  <si>
    <t>inköpta flytande biobränslen</t>
  </si>
  <si>
    <t>B12</t>
  </si>
  <si>
    <t>br gas bio panna</t>
  </si>
  <si>
    <t>inköpt biogas</t>
  </si>
  <si>
    <t>B13</t>
  </si>
  <si>
    <t>br eo fos panna</t>
  </si>
  <si>
    <t>fossil eldningsolja</t>
  </si>
  <si>
    <t>br gas fos panna</t>
  </si>
  <si>
    <t>B2</t>
  </si>
  <si>
    <t>Br panna inre brutto</t>
  </si>
  <si>
    <t>Summa bränsle för värmeproduktion i pannor, inre systemgräns, brutto</t>
  </si>
  <si>
    <t>B14</t>
  </si>
  <si>
    <t>br rens sulf övr</t>
  </si>
  <si>
    <t>sulfatmassans del av drivmedel och övrigt bränsle som används i verksamhet som kan hänföras till renseri, t.ex. truckar på vedgården.</t>
  </si>
  <si>
    <t>η ext</t>
  </si>
  <si>
    <t>B15</t>
  </si>
  <si>
    <t>B3</t>
  </si>
  <si>
    <t>B4</t>
  </si>
  <si>
    <t>Br panna inre netto</t>
  </si>
  <si>
    <t>Summa bränsle för värmeproduktion i pannor, inre systemgräns, netto</t>
  </si>
  <si>
    <t>B16</t>
  </si>
  <si>
    <t>Br pump sulf</t>
  </si>
  <si>
    <t>br fast bio dir</t>
  </si>
  <si>
    <t>B17</t>
  </si>
  <si>
    <t>br flyt bio dir</t>
  </si>
  <si>
    <t>B18</t>
  </si>
  <si>
    <t>Br tork sulf</t>
  </si>
  <si>
    <t>br gas bio dir</t>
  </si>
  <si>
    <t>B19</t>
  </si>
  <si>
    <t>br eo fos dir</t>
  </si>
  <si>
    <t>B20</t>
  </si>
  <si>
    <t>br gas fos dir</t>
  </si>
  <si>
    <t>övriga  fossila bränslen, t.ex. gasol och naturgas</t>
  </si>
  <si>
    <t>B21</t>
  </si>
  <si>
    <t>B5</t>
  </si>
  <si>
    <t>Br dir inre</t>
  </si>
  <si>
    <t>B6</t>
  </si>
  <si>
    <t>Kontroll, ska vara 0 (noll)</t>
  </si>
  <si>
    <t>B22</t>
  </si>
  <si>
    <t>x bio eget</t>
  </si>
  <si>
    <t>andel av totalt använd bark och annat biobränsle som uppkommit vid bruket</t>
  </si>
  <si>
    <t>Bränsle övrigt, använt som drivmedel eller för annat ändamål än värme eller direktvärme</t>
  </si>
  <si>
    <t>B23</t>
  </si>
  <si>
    <t>Br panna yttre, brutto</t>
  </si>
  <si>
    <t>Summa bränsle för värmeproduktion i pannor, yttre systemgräns, brutto</t>
  </si>
  <si>
    <t>br driv bio</t>
  </si>
  <si>
    <t>biodrivmedel (interna transporter), t.ex. biodiesel och etanol</t>
  </si>
  <si>
    <t>B24</t>
  </si>
  <si>
    <t>Br panna yttre netto</t>
  </si>
  <si>
    <t>Summa bränsle värmeproduktion i pannor, yttre systemgräns, netto</t>
  </si>
  <si>
    <t>br driv fos</t>
  </si>
  <si>
    <t>fossilt drivmedel (interna transporter), t.ex. bensin och diesel</t>
  </si>
  <si>
    <t>B25</t>
  </si>
  <si>
    <t>Br dir yttre</t>
  </si>
  <si>
    <t>br annat bio</t>
  </si>
  <si>
    <t>bränsle för andra ändamål, bio</t>
  </si>
  <si>
    <t>B26</t>
  </si>
  <si>
    <t>Br tot yttre</t>
  </si>
  <si>
    <t>Summa förbrukning av bränslen, yttre systemgräns</t>
  </si>
  <si>
    <t>br annat fos</t>
  </si>
  <si>
    <t>bränsle för andra ändamål, fossilt</t>
  </si>
  <si>
    <t>B7</t>
  </si>
  <si>
    <t>Br övr</t>
  </si>
  <si>
    <r>
      <t xml:space="preserve">Summa drivmedel och övrigt bränsle </t>
    </r>
    <r>
      <rPr>
        <sz val="11"/>
        <color theme="1"/>
        <rFont val="Calibri"/>
        <family val="2"/>
        <scheme val="minor"/>
      </rPr>
      <t>(beräknad från bränsleslag)</t>
    </r>
  </si>
  <si>
    <t>br rens övr</t>
  </si>
  <si>
    <t>drivmedel och övrigt bränsle som används i verksamhet som kan hänföras till renseri, t.ex. truckar på vedgården.</t>
  </si>
  <si>
    <t>B27</t>
  </si>
  <si>
    <t>B28</t>
  </si>
  <si>
    <t>br tork sulf övr</t>
  </si>
  <si>
    <t>drivmedel och övrigt bränsle som används i verksamhet som kan hänföras till torkningen av sulfatmassa, t.ex. truckar för utlastning av avsalumassa</t>
  </si>
  <si>
    <t>B29</t>
  </si>
  <si>
    <t>B30</t>
  </si>
  <si>
    <t>B8</t>
  </si>
  <si>
    <r>
      <t xml:space="preserve">Summa drivmedel och övrigt bränsle </t>
    </r>
    <r>
      <rPr>
        <sz val="11"/>
        <color theme="1"/>
        <rFont val="Calibri"/>
        <family val="2"/>
        <scheme val="minor"/>
      </rPr>
      <t>(beräknad från ändamål)</t>
    </r>
  </si>
  <si>
    <t>B31</t>
  </si>
  <si>
    <t>BRÄNSLEFÖRBRUKNING FOSSIL</t>
  </si>
  <si>
    <t>F1</t>
  </si>
  <si>
    <t>Br panna brutto fos</t>
  </si>
  <si>
    <t>Summa fossilt bränsle för värmeproduktion i pannor, brutto</t>
  </si>
  <si>
    <t>F8</t>
  </si>
  <si>
    <t>Br tot fos</t>
  </si>
  <si>
    <t>Summa fossilt bränsle</t>
  </si>
  <si>
    <t>F2</t>
  </si>
  <si>
    <t>F3</t>
  </si>
  <si>
    <t>Br panna netto fos</t>
  </si>
  <si>
    <t>Summa fossilt bränsle  för värmeproduktion i pannor, netto</t>
  </si>
  <si>
    <t>F9</t>
  </si>
  <si>
    <t>br pump sulf panna fos</t>
  </si>
  <si>
    <t>fossilt bränsle som används för att producera värme i form av ånga eller hetvatten fördelad till produktion av sulfat-pumpmassa</t>
  </si>
  <si>
    <t>F10</t>
  </si>
  <si>
    <t>br tork sulf panna fos</t>
  </si>
  <si>
    <t>fossilt bränsle som används för att producera värme i form av ånga eller hetvatten fördelad till torkning av sulfat-pumpmassa till avsalumassa</t>
  </si>
  <si>
    <t>F11</t>
  </si>
  <si>
    <t>F12</t>
  </si>
  <si>
    <t>F4</t>
  </si>
  <si>
    <t>Br dir fos</t>
  </si>
  <si>
    <t>Summa fossilt bränsle direktvärme (beräknat från bränsleslag)</t>
  </si>
  <si>
    <t>F13</t>
  </si>
  <si>
    <t>br rens sulf övr fos</t>
  </si>
  <si>
    <t>sulfatmassans del av fossilt drivmedel och övrigt bränsle som används i verksamhet som kan hänföras till renseri, t.ex. truckar på vedgården.</t>
  </si>
  <si>
    <t>F5</t>
  </si>
  <si>
    <t>Summa fossilt bränsle direktvärme (beräknat från användning)</t>
  </si>
  <si>
    <t>F14</t>
  </si>
  <si>
    <t>Fossilt bränsle övrigt, använt som drivmedel eller för annat ändamål än värme eller direktvärme</t>
  </si>
  <si>
    <t>fossilt bränsle för andra ändamål</t>
  </si>
  <si>
    <t>F15</t>
  </si>
  <si>
    <t>Br pump sulf fos</t>
  </si>
  <si>
    <t>Förbrukning av fossilt bränsle för produktion av sulfat-pumpmassa</t>
  </si>
  <si>
    <t>br rens övr fos</t>
  </si>
  <si>
    <t>fossilt drivmedel och övrigt bränsle som används i verksamhet som kan hänföras till renseri, t.ex. truckar på vedgården.</t>
  </si>
  <si>
    <t>F16</t>
  </si>
  <si>
    <t xml:space="preserve">br fiber sulf övr fos </t>
  </si>
  <si>
    <t>fossilt drivmedel och övrigt bränsle som används i verksamhet som kan hänföras till produktionen av sulfat-pumpmassa (exl. renseri)</t>
  </si>
  <si>
    <t>F17</t>
  </si>
  <si>
    <t>Br tork sulf fos</t>
  </si>
  <si>
    <t>Förbrukning av fossilt bränsle för torkning av sulfat-avsalumassa</t>
  </si>
  <si>
    <t>F18</t>
  </si>
  <si>
    <t>br tork sulf övr fos</t>
  </si>
  <si>
    <t>fossilt drivmedel och övrigt bränsle som används i verksamhet som kan hänföras till torkningen av sulfatmassa, t.ex. truckar för utlastning av avsalumassa</t>
  </si>
  <si>
    <t>F19</t>
  </si>
  <si>
    <t>F20</t>
  </si>
  <si>
    <t>F6</t>
  </si>
  <si>
    <t>Br övr fos</t>
  </si>
  <si>
    <t>Summa  övrigt fossilt bränsle (beräknat från bränsleslag)</t>
  </si>
  <si>
    <t>F7</t>
  </si>
  <si>
    <t>Summa  övrigt fossilt bränsle (beräknat från ändamål)</t>
  </si>
  <si>
    <t>F21</t>
  </si>
  <si>
    <t>F22</t>
  </si>
  <si>
    <t>F23</t>
  </si>
  <si>
    <t>F24</t>
  </si>
  <si>
    <t>F25</t>
  </si>
  <si>
    <t>Kommentarer och noteringar</t>
  </si>
  <si>
    <t>Q45</t>
  </si>
  <si>
    <t>Q tork sulf</t>
  </si>
  <si>
    <t>br pa dir</t>
  </si>
  <si>
    <t>bränsle som används för att producera direktvärme för själva pappersproduktionen</t>
  </si>
  <si>
    <t>bränsle som används för att producera direktvärme vid produktion av sulfat-pumpmassa, t.ex. bränsle till mesaugnen</t>
  </si>
  <si>
    <t>br tork sulf dir</t>
  </si>
  <si>
    <t>bränsle som används för att producera direktvärme för torkning av sulfatmassa, t.ex. direkteldade flingtorkar</t>
  </si>
  <si>
    <t>Bränsle som används för direktvärme (tex i mesaugn)</t>
  </si>
  <si>
    <t>drivmedel och övrigt bränsle som används i verksamhet som kan hänföras till produktionen av sulfat-pumpmassa (exkl. renseri)</t>
  </si>
  <si>
    <t>br uppsl övr</t>
  </si>
  <si>
    <t>drivmedel och annat bränsle som används i verksamhet som kan hänföras till uppslagning av inköpt massa</t>
  </si>
  <si>
    <t>br pa övr</t>
  </si>
  <si>
    <t>drivmedel och annat bränsle som används i verksamhet som kan hänföras till själva pappersproduktionen, t.ex. truckar för hantering av färdig produkt</t>
  </si>
  <si>
    <t>br uppsl panna</t>
  </si>
  <si>
    <t>br pa panna</t>
  </si>
  <si>
    <t>Br uppsl</t>
  </si>
  <si>
    <t>Br pa</t>
  </si>
  <si>
    <t>B32</t>
  </si>
  <si>
    <t>B33</t>
  </si>
  <si>
    <t>bränsle som används för att producera värme i form av ånga eller hetvatten fördelad till själva pappersproduktionen</t>
  </si>
  <si>
    <t>bränsle som används för att producera värme i form av ånga eller hetvatten fördelad till uppslagning av inköpt massa</t>
  </si>
  <si>
    <t>Förbrukning av bränsle för produktion av sulfat-pumpmassa</t>
  </si>
  <si>
    <t>Förbrukning av bränsle för torkning av sulfat-avsalumassa</t>
  </si>
  <si>
    <t>Förbrukning av bränsle för uppslagning av inköpt massa</t>
  </si>
  <si>
    <t>Förbrukning av bränsle för själva pappersproduktionen</t>
  </si>
  <si>
    <t>br tork sulf dir fos</t>
  </si>
  <si>
    <t>br pa dir fos</t>
  </si>
  <si>
    <t>fossilt bränsle som används för att producera direktvärme vid produktion av sulfat-pumpmassa, t.ex. bränsle till mesaugnen</t>
  </si>
  <si>
    <t>fossilt bränsle som används för att producera direktvärme för torkning av sulfatmassa, t.ex. direkteldade flingtorkar</t>
  </si>
  <si>
    <t>fossilt bränsle som används för att producera direktvärme för själva pappersproduktionen</t>
  </si>
  <si>
    <t>br uppsl övr fos</t>
  </si>
  <si>
    <t>fossilt drivmedel och övrigt bränsle som används i verksamhet som kan hänföras till uppslagning av inköpt massa, t ex truckar för mottagning av inköpt massa</t>
  </si>
  <si>
    <t>br pa övr fos</t>
  </si>
  <si>
    <t>fossilt drivmedel och övrigt bränsle som används i verksamhet som kan hänföras till själva pappersproduktionen, t ex truckar för utlastning av färdig produkt</t>
  </si>
  <si>
    <t>fossilt bränsle som används för att producera värme i form av ånga eller hetvatten fördelad till uppslagning av inköpt massa</t>
  </si>
  <si>
    <t>fossilt bränsle som används för att producera värme i form av ånga eller hetvatten fördelad till själva pappersproduktionen</t>
  </si>
  <si>
    <t>Br uppsl fos</t>
  </si>
  <si>
    <t>Br pa fos</t>
  </si>
  <si>
    <t>Förbrukning av fossilt bränsle för uppslagning av inköpt massa</t>
  </si>
  <si>
    <t>Förbrukning av fossilt bränsle för själva pappersproduktionen</t>
  </si>
  <si>
    <t>F26</t>
  </si>
  <si>
    <t>F27</t>
  </si>
  <si>
    <t>F28</t>
  </si>
  <si>
    <t>F29</t>
  </si>
  <si>
    <t>Fossilt bränsle som används för direktvärme</t>
  </si>
  <si>
    <t>el använd för värmeproduktion fördelad till renseriet (sulfatmassans del)</t>
  </si>
  <si>
    <t>el använd för värmeproduktion fördelad till produktion av sulfat-pumpmassa (exkl. renseri)</t>
  </si>
  <si>
    <t>el använd för värmeproduktion fördelad till torkning av sulfat-avsalumassa</t>
  </si>
  <si>
    <t>el använd för värmeproduktion fördelad till uppslagning av inköpt massa</t>
  </si>
  <si>
    <t>el använd för värmeproduktion fördelad till själva pappersproduktionen</t>
  </si>
  <si>
    <t>sulfatmassans del av värmeförbrukning som fördelats till renseriet</t>
  </si>
  <si>
    <t>Q43</t>
  </si>
  <si>
    <t>Q46</t>
  </si>
  <si>
    <t>B34</t>
  </si>
  <si>
    <t>B35</t>
  </si>
  <si>
    <t>br bio eget fast</t>
  </si>
  <si>
    <t>Ved NSSC</t>
  </si>
  <si>
    <t>såld NSSC-massa (avsalumassa)</t>
  </si>
  <si>
    <t>gemensam elförbrukning som fördelats till, eller med utgångspunkt från andel av uppmätt förbrukning hänförts till renseriet (NSSC-massans andel)</t>
  </si>
  <si>
    <t>uppmätt elförbrukning vid renseriet, från att veden kommer in på vedgården tills att flisen separeras till produktion av sulfatmassa resp. NSSC-massa</t>
  </si>
  <si>
    <t>el använd för värmeproduktion fördelad till renseriet (NSSC-massans del)</t>
  </si>
  <si>
    <t>Förbrukning av el i renseriet (NSSC-massans del)</t>
  </si>
  <si>
    <t>NSSC-massaproduktionens del av renseriets uppmätta elförbrukning</t>
  </si>
  <si>
    <t>gemensam värmeförbrukning somfördelats till, eller med utgångspunkt från andel av uppmätt förbrukning hänförts till renseriet (NSSC-massans andel)</t>
  </si>
  <si>
    <t>Förbrukning av värme i renseriet (NSSC-massans del)</t>
  </si>
  <si>
    <t xml:space="preserve">uppmätt förbrukning av primärvärme vid renseriet, från att veden kommer in på vedgården tills att flisen separeras till produktion av sulfatmassa resp. NSSC-massa </t>
  </si>
  <si>
    <t>NSSC-massans del av uppmätt värmeförbrukning i renseriet</t>
  </si>
  <si>
    <t>NSSC-massans del av sekundärvärme som tillvaratas från renseriet</t>
  </si>
  <si>
    <t>NSSC-massans del av sekundärvärmeanvändning i renseriet</t>
  </si>
  <si>
    <t>NSSC-massans del av värmeförbrukning som fördelats till renseriet</t>
  </si>
  <si>
    <t>NSSC-massans del av drivmedel och övrigt bränsle som används i verksamhet som kan hänföras till renseri, t.ex. truckar på vedgården.</t>
  </si>
  <si>
    <t>bränsle som används för att producera direktvärme för torkning av NSSC-massa, t.ex. direkteldade flingtorkar</t>
  </si>
  <si>
    <t>NSSC-massans del av fossilt drivmedel och övrigt bränsle som används i verksamhet som kan hänföras till renseri, t.ex. truckar på vedgården.</t>
  </si>
  <si>
    <t>fossilt bränsle som används för att producera direktvärme för torkning av NSSC-massa, t.ex. direkteldade flingtorkar</t>
  </si>
  <si>
    <t>fossilt drivmedel och övrigt bränsle som används i verksamhet som kan hänföras till torkningen av NSSC-massa, t.ex. truckar för utlastning av avsalumassa</t>
  </si>
  <si>
    <t xml:space="preserve">ved/flis till produktion av NSSC-massa </t>
  </si>
  <si>
    <t>Ma avsalu NSSC</t>
  </si>
  <si>
    <t>el rens NSSC gem</t>
  </si>
  <si>
    <t>gemensam elförbrukning som fördelats till, eller med utgångspunkt från andel av uppmätt förbrukning hänförts till produktion av NSSC-pumpmassa (exkl. renseri)</t>
  </si>
  <si>
    <t>gemensam elförbrukning som fördelats till, eller med utgångspunkt från andel av uppmätt förbrukning hänförts till torkning av NSSC-pumpmassa till avsalumassa</t>
  </si>
  <si>
    <t>uppmätt elförbrukning för produktion av NSSC-pumpmassa, exkl. el till renseriet</t>
  </si>
  <si>
    <t xml:space="preserve">uppmätt elförbrukning för torkning av NSSC-pumpmassa till avsalumassa </t>
  </si>
  <si>
    <t xml:space="preserve">del av gemensam elförbrukning (inkl. gemensam balanspost) som kan fördelas till produktion av NSSC-pumpmassa (exkl. renseri) baserat på rimliga antaganden och uppskattningar </t>
  </si>
  <si>
    <t xml:space="preserve">del av gemensam elförbrukning (inkl. gemensam balanspost) som kan fördelas till torkning av NSSC-pumpmassa till avsalumassa baserat på rimliga antaganden och uppskattningar </t>
  </si>
  <si>
    <t>Förbrukning av el för produktion av NSSC-pumpmassa (exkl. renseri)</t>
  </si>
  <si>
    <t>Förbrukning av el för produktion av NSSC-pumpmassa</t>
  </si>
  <si>
    <t>gemensam värmeförbrukning som fördelats till, eller med utgångspunkt från andel av uppmätt förbrukning hänförts till produktion av NSSC-pumpmassa (exkl. renseri)</t>
  </si>
  <si>
    <t>gemensam värmeförbrukning som fördelats till eller uppskattas användas förfördelats till, eller med utgångspunkt från andel av uppmätt förbrukning hänförts till torkning av NSSC-pumpmassa till avsalumassa</t>
  </si>
  <si>
    <t>Förbrukning av värme för produktion av NSSC-pumpmassa (exkl. renseri)</t>
  </si>
  <si>
    <t>uppmätt förbrukning av primärvärme för produktion av NSSC-pumpmassa (exkl. renseri)</t>
  </si>
  <si>
    <t>Förbrukning av värme för produktion av NSSC-pumpmassa</t>
  </si>
  <si>
    <t>Producerad raffinörsånga per producerad mängd NSSC-pumpmassa</t>
  </si>
  <si>
    <t>sekundärvärme som används för produktion av NSSC-pumpmassa (exkl. renseri)</t>
  </si>
  <si>
    <t xml:space="preserve">del av gemensam värmeförbrukning (inkl. friblåsning och gemensam balanspost) som kan fördelas till produktion av NSSC-pumpmassa (exkl. renseri) baserat på rimliga antaganden och uppskattningar </t>
  </si>
  <si>
    <t>del av gemensam värmeförbrukning (inkl. friblåsning och gemensam balanspost) som kan fördelas till torkning av NSSC-pumpmassa till avsalumassa baserat på rimliga antaganden och uppskattningar</t>
  </si>
  <si>
    <t>bränsle som används för att producera värme i form av ånga eller hetvatten fördelad till produktion av NSSC-pumpmassa</t>
  </si>
  <si>
    <t>bränsle som används för att producera värme i form av ånga eller hetvatten fördelad till torkning av NSSC-pumpmassa till avsalumassa</t>
  </si>
  <si>
    <t>Förbrukning av bränsle för produktion av NSSC-pumpmassa</t>
  </si>
  <si>
    <t>drivmedel och övrigt bränsle som används i verksamhet som kan hänföras till produktionen av NSSC-pumpmassa (exkl. renseri)</t>
  </si>
  <si>
    <t>fossilt bränsle som används för att producera värme i form av ånga eller hetvatten fördelad till produktion av NSSC-pumpmassa</t>
  </si>
  <si>
    <t>fossilt bränsle som används för att producera värme i form av ånga eller hetvatten fördelad till torkning av NSSC-pumpmassa till avsalumassa</t>
  </si>
  <si>
    <t>Förbrukning av fossilt bränsle för produktion av NSSC-pumpmassa</t>
  </si>
  <si>
    <t>fossilt drivmedel och övrigt bränsle som används i verksamhet som kan hänföras till produktionen av NSSC-pumpmassa (exl. renseri)</t>
  </si>
  <si>
    <t>Förbrukning av el för torkning av NSSC-avsalumassa</t>
  </si>
  <si>
    <t>uppmätt förbrukning av primärvärme för torkning av NSSC-avsalumassa</t>
  </si>
  <si>
    <t>Förbrukning av värme för torkning av NSSC-avsalumassa</t>
  </si>
  <si>
    <t>sekundärvärme som tillvaratas från torkningen av NSSC-avsalumassa</t>
  </si>
  <si>
    <t xml:space="preserve">	sekundärvärme som används för torkning av NSSC-avsalumassa</t>
  </si>
  <si>
    <t>Förbrukning av bränsle för torkning av NSSC-avsalumassa</t>
  </si>
  <si>
    <t>Förbrukning av fossilt bränsle för torkning av NSSC-avsalumassa</t>
  </si>
  <si>
    <t>el tork NSSC gem</t>
  </si>
  <si>
    <t>el tork NSSC uppm</t>
  </si>
  <si>
    <t>el rens NSSC br</t>
  </si>
  <si>
    <t>el använd för värmeproduktion fördelad till produktion av NSSC- pumpmassa (exkl. renseri)</t>
  </si>
  <si>
    <t>el tork NSSC br</t>
  </si>
  <si>
    <t>el använd för värmeproduktion fördelad till torkning av NSSC- avsalumassa</t>
  </si>
  <si>
    <t xml:space="preserve">el gem förd tork NSSC </t>
  </si>
  <si>
    <t>el rens NSSC</t>
  </si>
  <si>
    <t>el rens NSSC uppm</t>
  </si>
  <si>
    <t>el gem förd rens NSSC</t>
  </si>
  <si>
    <t>El pump NSSC</t>
  </si>
  <si>
    <t>El tork NSSC</t>
  </si>
  <si>
    <t>q rens NSSC gem</t>
  </si>
  <si>
    <t>q fiber NSSC gem</t>
  </si>
  <si>
    <t>q tork NSSC gem</t>
  </si>
  <si>
    <t>q rens NSSC</t>
  </si>
  <si>
    <t>q fiber NSSC</t>
  </si>
  <si>
    <t>q fiber NSSC uppm</t>
  </si>
  <si>
    <t>q tork NSSC uppm</t>
  </si>
  <si>
    <t>Q pump NSSC</t>
  </si>
  <si>
    <t>Q tork NSSC</t>
  </si>
  <si>
    <t>q rens NSSC uppm</t>
  </si>
  <si>
    <t>q fiber NSSC→sek</t>
  </si>
  <si>
    <t>q tork NSSC→sek</t>
  </si>
  <si>
    <t>q sek→fiber NSSC</t>
  </si>
  <si>
    <t>q sek→tork NSSC</t>
  </si>
  <si>
    <t>q rens NSSC→sek</t>
  </si>
  <si>
    <t>q sek→rens NSSC</t>
  </si>
  <si>
    <t>q gem förd fiber NSSC</t>
  </si>
  <si>
    <t>q gem förd tork NSSC</t>
  </si>
  <si>
    <t>q gem förd rens NSSC</t>
  </si>
  <si>
    <t>br pump NSSC panna</t>
  </si>
  <si>
    <t>br tork NSSC panna</t>
  </si>
  <si>
    <t xml:space="preserve">br rens NSSC övr </t>
  </si>
  <si>
    <t>Br pump NSSC</t>
  </si>
  <si>
    <t>Br tork NSSC</t>
  </si>
  <si>
    <t>br tork NSSC dir</t>
  </si>
  <si>
    <t>br tork NSSC övr</t>
  </si>
  <si>
    <t>br pump NSSC panna fos</t>
  </si>
  <si>
    <t>br tork NSSC panna fos</t>
  </si>
  <si>
    <t>br rens NSSC övr fos</t>
  </si>
  <si>
    <t>br tork NSSC dir fos</t>
  </si>
  <si>
    <t>Br pump NSSC fos</t>
  </si>
  <si>
    <t>Br tork NSSC fos</t>
  </si>
  <si>
    <t>br fiber NSSC övr fos</t>
  </si>
  <si>
    <t>br tork NSSC övr fos</t>
  </si>
  <si>
    <t>Ma pump NSSC</t>
  </si>
  <si>
    <t>El tot uppm</t>
  </si>
  <si>
    <t>Total uppmätt förbrukning av el vid massabruket</t>
  </si>
  <si>
    <t>bränsle som används för att producera direktvärme vid produktion av NSSC-pumpmassa, t.ex. NSSC-massans andel av bränsle till mesaugnen</t>
  </si>
  <si>
    <t>fossilt bränsle som används för att producera direktvärme vid produktion av sulfat-pumpmassa, t.ex. NSSC-massans andel av bränsle till mesaugnen</t>
  </si>
  <si>
    <t>SKOGENS SULFAT- NSSC- OCH RCF-BRUK</t>
  </si>
  <si>
    <t>Avsvärtning</t>
  </si>
  <si>
    <t>Special-produkter</t>
  </si>
  <si>
    <t>Ma pump RCF</t>
  </si>
  <si>
    <t>M6</t>
  </si>
  <si>
    <t>el pump RCF uppm</t>
  </si>
  <si>
    <t>uppmätt elförbrukning för produktion av RCF-pumpmassa</t>
  </si>
  <si>
    <t xml:space="preserve">el gem förd pump RCF </t>
  </si>
  <si>
    <t xml:space="preserve">del av gemensam elförbrukning (inkl. gemensam balanspost) som kan fördelas till produktion av RCF-pumpmassa  baserat på rimliga antaganden och uppskattningar </t>
  </si>
  <si>
    <t>el pump RCF gem</t>
  </si>
  <si>
    <t>gemensam elförbrukning som fördelats till, eller med utgångspunkt från andel av uppmätt förbrukning hänförts till produktion av RCF-pumpmassa</t>
  </si>
  <si>
    <t>el pump RCF br</t>
  </si>
  <si>
    <t>el använd för värmeproduktion fördelad till produktion av RCF-pumpmassa</t>
  </si>
  <si>
    <t>El pump RCF</t>
  </si>
  <si>
    <t>Förbrukning av el för produktion av RCF-pumpmassa</t>
  </si>
  <si>
    <t>E45</t>
  </si>
  <si>
    <t>E46</t>
  </si>
  <si>
    <t>E47</t>
  </si>
  <si>
    <t>E48</t>
  </si>
  <si>
    <t>q pump RCF uppm</t>
  </si>
  <si>
    <t>uppmätt förbrukning av primärvärme för produktion av RCF-pumpmassa</t>
  </si>
  <si>
    <t>q pump RCF→sek</t>
  </si>
  <si>
    <t>sekundärvärme som tillvaratas från produktionen av RCF-pumpmassa</t>
  </si>
  <si>
    <t>q sek→pump RCF</t>
  </si>
  <si>
    <t>sekundärvärme som används för produktion av RCF-pumpmassa</t>
  </si>
  <si>
    <t>q gem förd pump RCF</t>
  </si>
  <si>
    <t xml:space="preserve">del av gemensam värmeförbrukning (inkl. friblåsning och gemensam balanspost) som kan fördelas till produktion av RCF-pumpmassa  baserat på rimliga antaganden och uppskattningar </t>
  </si>
  <si>
    <t>q pump RCF gem</t>
  </si>
  <si>
    <t>gemensam värmeförbrukning som fördelats till, eller med utgångspunkt från andel av uppmätt förbrukning hänförts till produktion av RCF-pumpmassa</t>
  </si>
  <si>
    <t>Q pump RCF</t>
  </si>
  <si>
    <t>Förbrukning av värme för produktion av RCF-pumpmassa</t>
  </si>
  <si>
    <t>Q47</t>
  </si>
  <si>
    <t>Q48</t>
  </si>
  <si>
    <t>Q49</t>
  </si>
  <si>
    <t>br rejekt panna</t>
  </si>
  <si>
    <t>svärta och rejekt som uppkommer vid upparbetning av returpapperet och som förbränns i egna pannor</t>
  </si>
  <si>
    <t xml:space="preserve">br pump RCF övr </t>
  </si>
  <si>
    <t xml:space="preserve">drivmedel och övrigt bränsle som används i verksamhet som kan hänföras till produktionen av RCF-pumpmassa </t>
  </si>
  <si>
    <t>br pump RCF panna</t>
  </si>
  <si>
    <t>bränsle som används för att producera värme i form av ånga eller hetvatten fördelad till produktion av RCF-pumpmassa</t>
  </si>
  <si>
    <t>Br pump RCF</t>
  </si>
  <si>
    <t>Förbrukning av bränsle för produktion av RCF-pumpmassa</t>
  </si>
  <si>
    <t>B36</t>
  </si>
  <si>
    <t>B37</t>
  </si>
  <si>
    <t>B38</t>
  </si>
  <si>
    <t>br pump RCF övr fos</t>
  </si>
  <si>
    <t xml:space="preserve">fossilt drivmedel och övrigt bränsle som används i verksamhet som kan hänföras till produktionen av RCF-pumpmassa </t>
  </si>
  <si>
    <t>br pump RCF panna fos</t>
  </si>
  <si>
    <t>fossilt bränsle som används för att producera värme i form av ånga eller hetvatten fördelad till produktion av RCF-pumpmassa</t>
  </si>
  <si>
    <t>Br pump RCF fos</t>
  </si>
  <si>
    <t>Förbrukning av fossilt bränsle för produktion av RCF-pumpmassa</t>
  </si>
  <si>
    <t>F30</t>
  </si>
  <si>
    <t>F31</t>
  </si>
  <si>
    <t>F32</t>
  </si>
  <si>
    <t>Vedråvara</t>
  </si>
  <si>
    <r>
      <t xml:space="preserve">Ange vilken typ av vedråvara som används
</t>
    </r>
    <r>
      <rPr>
        <i/>
        <sz val="11"/>
        <color theme="1"/>
        <rFont val="Calibri"/>
        <family val="2"/>
        <scheme val="minor"/>
      </rPr>
      <t>[Infoga rader efter behov (om flera typer av vedråvara)]</t>
    </r>
  </si>
  <si>
    <t>Enhet</t>
  </si>
  <si>
    <t>Sulfatmassa</t>
  </si>
  <si>
    <t>Returmassa</t>
  </si>
  <si>
    <t>NSSC-massa</t>
  </si>
  <si>
    <t>V3</t>
  </si>
  <si>
    <t>Ved tot</t>
  </si>
  <si>
    <t>ved/flis totalt</t>
  </si>
  <si>
    <t xml:space="preserve">gemensam elförbrukning som fördelats till, eller med utgångspunkt från andel av uppmätt förbrukning hänförts tilltorkning av sulfat-pumpmassa till avsalumassa </t>
  </si>
  <si>
    <t>Q50</t>
  </si>
  <si>
    <t>Fyllmedel, bestrykning</t>
  </si>
  <si>
    <t>E49</t>
  </si>
  <si>
    <t>Q51</t>
  </si>
  <si>
    <t>B39</t>
  </si>
  <si>
    <t>Fasta biobränslen - övergripande balans</t>
  </si>
  <si>
    <t>F33</t>
  </si>
  <si>
    <t>Massatyp</t>
  </si>
  <si>
    <r>
      <t xml:space="preserve">Ange typ av massa
</t>
    </r>
    <r>
      <rPr>
        <i/>
        <sz val="11"/>
        <rFont val="Calibri"/>
        <family val="2"/>
        <scheme val="minor"/>
      </rPr>
      <t>[Infoga rader efter behov (om flera typer ]</t>
    </r>
  </si>
  <si>
    <r>
      <t xml:space="preserve">Ange vilken typ av vedråvara som används
</t>
    </r>
    <r>
      <rPr>
        <i/>
        <sz val="11"/>
        <rFont val="Calibri"/>
        <family val="2"/>
        <scheme val="minor"/>
      </rPr>
      <t>[Infoga rader efter behov (om flera typer av vedråvara)]</t>
    </r>
  </si>
  <si>
    <r>
      <t xml:space="preserve">Ange vilken/vilka typ(er) av blekning som används, och massaproduktion av respektive typ
</t>
    </r>
    <r>
      <rPr>
        <i/>
        <sz val="11"/>
        <rFont val="Calibri"/>
        <family val="2"/>
        <scheme val="minor"/>
      </rPr>
      <t>[Infoga rader efter behov (om flera typer av blekning)]</t>
    </r>
  </si>
  <si>
    <r>
      <t xml:space="preserve">Ange produktion av avsvärtad respektive ej avsvärtad massa.
</t>
    </r>
    <r>
      <rPr>
        <i/>
        <sz val="11"/>
        <rFont val="Calibri"/>
        <family val="2"/>
        <scheme val="minor"/>
      </rPr>
      <t>[Infoga fler rader om både avsvärtad och ej avsvärtad massa produceras]</t>
    </r>
  </si>
  <si>
    <r>
      <t xml:space="preserve">Ange om fyllmedel eller bestrykningsmedel används (ökar pappersproduktionens vikt)
</t>
    </r>
    <r>
      <rPr>
        <i/>
        <sz val="11"/>
        <rFont val="Calibri"/>
        <family val="2"/>
        <scheme val="minor"/>
      </rPr>
      <t>[Infoga rader efter behov]</t>
    </r>
  </si>
  <si>
    <t>produktion av RCF-pumpmassa</t>
  </si>
  <si>
    <t>balanspost för el, avvikelse mellan tillförsel och uppmätt användning (inkluderar t.ex. förluster, ouppmätt förbrukning, mätfel osv)</t>
  </si>
  <si>
    <t>GJ/ADt+ton</t>
  </si>
  <si>
    <t>GJ/ton</t>
  </si>
  <si>
    <t>balanspost för primärvärme, avvikelse mellan produktion och uppmätt förbrukning (inkluderar förluster, ouppmätt förbrukning, mätfel osv)</t>
  </si>
  <si>
    <t>GJ/Adt</t>
  </si>
  <si>
    <t>egengenererat biobränsle (t.ex. bark) som uppkommit utanför ”inre systemgräns” på bruket (dvs i vedhantering/renseri)</t>
  </si>
  <si>
    <t>drivmedel och övrigt bränsle som används i verksamhet som kan hänföras till torkningen av NSSC-massa, t.ex. truckar för utlastning av avsalumassa</t>
  </si>
  <si>
    <t>br uppsl panna fos</t>
  </si>
  <si>
    <t>br pa panna fos</t>
  </si>
  <si>
    <t>br såld rejekt</t>
  </si>
  <si>
    <r>
      <t>rejekt som uppkommer vid upparbetning av returpapperet och som säljs till externa förbrukare</t>
    </r>
    <r>
      <rPr>
        <b/>
        <sz val="11"/>
        <color theme="1"/>
        <rFont val="Calibri"/>
        <family val="2"/>
        <scheme val="minor"/>
      </rPr>
      <t xml:space="preserve"> (används endast vid beräkning med yttre systemgräns)</t>
    </r>
  </si>
  <si>
    <t>egen produktion av sulfat-pumpmassa (inkl avsalumassa)</t>
  </si>
  <si>
    <t>egen produktion av NSSC-pumpmassa (inkl avsalumassa)</t>
  </si>
  <si>
    <t>q prim kond</t>
  </si>
  <si>
    <t>verkningsgrad för barkpanna eller annan energipanna som producerar ånga för kondenselproduktion. Om inte verkningsgraden är känd för pannan sätts den schablonmässigt till 85 %.</t>
  </si>
  <si>
    <t>B40</t>
  </si>
  <si>
    <t>ånga som används för produktion av kondensel</t>
  </si>
  <si>
    <t>fossilt bränsle som gått åt för att producera kondensel</t>
  </si>
  <si>
    <t>η fos kond</t>
  </si>
  <si>
    <t>F34</t>
  </si>
  <si>
    <t>η kond</t>
  </si>
  <si>
    <t>el prod kond</t>
  </si>
  <si>
    <t>el producerad som mottryckskraft i turbin vid bruket</t>
  </si>
  <si>
    <t>el producerad som kondenskraft i turbin vid bruket</t>
  </si>
  <si>
    <t>ånga som tillförs processen efter passage av mottrycksproduktion, dvs ånga ut från turbiner anslutna till sodapanna, fastbränslepanna eller annan panna</t>
  </si>
  <si>
    <t>direktreducerad ånga som tillförs processen från sodapanna, fastbränslepanna eller annan panna utan att passera mottrycksturbin</t>
  </si>
  <si>
    <t>Inköpt kalk</t>
  </si>
  <si>
    <t>Ange om bränd kalk köps in på grund av begränsad kapacitet i mesaugnen. Ange andelen inköpt kalk av total kalkförbrukning.</t>
  </si>
  <si>
    <t>vikt%</t>
  </si>
  <si>
    <t>br ext prim värme</t>
  </si>
  <si>
    <t>el inköpt</t>
  </si>
  <si>
    <t>sekundärvärme från bruket som säljs till extern förbrukare</t>
  </si>
  <si>
    <t>balanspost för sekundärvärme, avvikelse mellan summan av värmekällor och värmesänkor (hänförs till gemensamma funktioner)</t>
  </si>
  <si>
    <t>BRÄNSLEFÖRBRUKNING TOTALT</t>
  </si>
  <si>
    <t>bränsle som använts för att producera kondensel</t>
  </si>
  <si>
    <t>B41</t>
  </si>
  <si>
    <t>verkningsgrad för fossileldad energipanna som producerar ånga för kondenselproduktion. Sätts schablonmässigt till 90% om  verkningsgraden för pannan inte är känd. Lämnas tom om fossilt bränsle aldrig används vid kondensdrift.</t>
  </si>
  <si>
    <t>bränsle som använts för att producera primärvärme som levereras externt (t.ex. till fjärrvärme)</t>
  </si>
  <si>
    <t>br ext prim värme fos</t>
  </si>
  <si>
    <t>Fossilt bränsle som används för produktion av ånga och varmvatten eller för kondensel</t>
  </si>
  <si>
    <t>F35</t>
  </si>
  <si>
    <t>raffinörsånga som säljs till extern förbrukare eller dumpas</t>
  </si>
  <si>
    <t>primärvärme som säljs till extern förbrukare</t>
  </si>
  <si>
    <t>se PM avsnitt 2.4. 'Värme' för ytterligare instruktioner om hur producerad och förbrukad ånga ska anges</t>
  </si>
  <si>
    <t>egengenererad och inköpt bark och annat fast biobränsle</t>
  </si>
  <si>
    <t>B42</t>
  </si>
  <si>
    <t>B43</t>
  </si>
  <si>
    <t>%</t>
  </si>
  <si>
    <t>Barr - rundved</t>
  </si>
  <si>
    <t>Barr - flis</t>
  </si>
  <si>
    <t>Pappersmassa</t>
  </si>
  <si>
    <t>ECF-blekt</t>
  </si>
  <si>
    <t>Löv - rundved</t>
  </si>
  <si>
    <t>Oblekt</t>
  </si>
  <si>
    <t>Egenproducerade</t>
  </si>
  <si>
    <t>I huvudsak egenproducerad kalk</t>
  </si>
  <si>
    <t>[Om betydande mängd inköpt kalk, ange ungefärlig andel inköpt]</t>
  </si>
  <si>
    <t>Avsvärtad</t>
  </si>
  <si>
    <t>Ditionit+Väteperoxid</t>
  </si>
  <si>
    <t>Inköpta</t>
  </si>
  <si>
    <t>Förpackningskartong</t>
  </si>
  <si>
    <t>Wellpappmaterial</t>
  </si>
  <si>
    <t>Förpackningspapper</t>
  </si>
  <si>
    <t>Fyllmedel</t>
  </si>
  <si>
    <t>Mottryck</t>
  </si>
  <si>
    <t>Mek massa</t>
  </si>
  <si>
    <t>Freeness</t>
  </si>
  <si>
    <r>
      <t xml:space="preserve">Ange massans freeness
</t>
    </r>
    <r>
      <rPr>
        <i/>
        <sz val="11"/>
        <rFont val="Calibri"/>
        <family val="2"/>
        <scheme val="minor"/>
      </rPr>
      <t>[Infoga rader efter behov (om flera massatyper]</t>
    </r>
  </si>
  <si>
    <t>ml CSF</t>
  </si>
  <si>
    <t>[Ange värden för huvudsakliga massatyper, eller intervall]</t>
  </si>
  <si>
    <t>(Ungefärlig mängd eller andel av respektive råvara och fördelning per massatyp (om flera används)]</t>
  </si>
  <si>
    <t>Kondens</t>
  </si>
  <si>
    <t>br såld tall/terp</t>
  </si>
  <si>
    <t>såld tallolja och terpentin</t>
  </si>
  <si>
    <t>br pump sulf dir</t>
  </si>
  <si>
    <t>br pump NSSC dir</t>
  </si>
  <si>
    <t xml:space="preserve">br pump sulf övr </t>
  </si>
  <si>
    <t xml:space="preserve">br pump NSSC övr </t>
  </si>
  <si>
    <t>Br tot inre netto alt</t>
  </si>
  <si>
    <t>Br tork sulf alt</t>
  </si>
  <si>
    <t>Br uppsl alt</t>
  </si>
  <si>
    <t>Br pa alt</t>
  </si>
  <si>
    <t>Br pump NSSC alt</t>
  </si>
  <si>
    <t>Br pump sulf alt</t>
  </si>
  <si>
    <t>Br pump RCF alt</t>
  </si>
  <si>
    <t>Br tork NSSC alt</t>
  </si>
  <si>
    <t>B44</t>
  </si>
  <si>
    <t>B45</t>
  </si>
  <si>
    <t>B46</t>
  </si>
  <si>
    <t>B47</t>
  </si>
  <si>
    <t>B48</t>
  </si>
  <si>
    <t>B49</t>
  </si>
  <si>
    <t>B50</t>
  </si>
  <si>
    <t>B51</t>
  </si>
  <si>
    <t>B52</t>
  </si>
  <si>
    <t>B53</t>
  </si>
  <si>
    <t>B54</t>
  </si>
  <si>
    <t>B55</t>
  </si>
  <si>
    <t>B56</t>
  </si>
  <si>
    <t>B57</t>
  </si>
  <si>
    <t>B58</t>
  </si>
  <si>
    <t>B59</t>
  </si>
  <si>
    <t>B60</t>
  </si>
  <si>
    <t>Br tot fos alt</t>
  </si>
  <si>
    <t>Br pump sulf fos alt</t>
  </si>
  <si>
    <t>Br pump NSSC fos alt</t>
  </si>
  <si>
    <t>Br pump RCF fos alt</t>
  </si>
  <si>
    <t>Br tork sulf fos alt</t>
  </si>
  <si>
    <t>Br tork NSSC fos alt</t>
  </si>
  <si>
    <t>Br uppsl fos alt</t>
  </si>
  <si>
    <t>Br pa fos alt</t>
  </si>
  <si>
    <t>br pump sulf dir fos</t>
  </si>
  <si>
    <t>br pump NSSC dir fos</t>
  </si>
  <si>
    <t>F36</t>
  </si>
  <si>
    <t>F37</t>
  </si>
  <si>
    <t>F38</t>
  </si>
  <si>
    <t>F39</t>
  </si>
  <si>
    <t>F40</t>
  </si>
  <si>
    <t>F41</t>
  </si>
  <si>
    <t>F42</t>
  </si>
  <si>
    <t>F43</t>
  </si>
  <si>
    <t>F44</t>
  </si>
  <si>
    <t>F45</t>
  </si>
  <si>
    <t>F46</t>
  </si>
  <si>
    <t>F47</t>
  </si>
  <si>
    <t>F48</t>
  </si>
  <si>
    <t>F49</t>
  </si>
  <si>
    <t>F50</t>
  </si>
  <si>
    <t>F51</t>
  </si>
  <si>
    <t>F52</t>
  </si>
  <si>
    <t>Elförbrukning</t>
  </si>
  <si>
    <t>Värmeförbrukning</t>
  </si>
  <si>
    <t>Bränsleförbrukning</t>
  </si>
  <si>
    <t>Fossil bränsleförbrukning</t>
  </si>
  <si>
    <t xml:space="preserve"> - totalt för bruket per producerad mängd slutprodukt</t>
  </si>
  <si>
    <t xml:space="preserve"> - per producerad mängd sulfat-pumpmassa</t>
  </si>
  <si>
    <t xml:space="preserve"> - per producerad mängd torkad sulfat-avsalumassa</t>
  </si>
  <si>
    <t xml:space="preserve"> - per producerad mängd NSSC-pumpmassa</t>
  </si>
  <si>
    <t xml:space="preserve"> - per producerad mängd torkad NSSC-avsalumassa</t>
  </si>
  <si>
    <t xml:space="preserve"> - per producerad mängd RCF-pumpmassa</t>
  </si>
  <si>
    <t xml:space="preserve"> - per producerad mängd papper från pumpmassa</t>
  </si>
  <si>
    <t xml:space="preserve"> - per producerad mängd papper från inköpt massa</t>
  </si>
  <si>
    <t xml:space="preserve"> - per producerad mängd RCF-pumpmassa + papper</t>
  </si>
  <si>
    <t>E50</t>
  </si>
  <si>
    <t>E51</t>
  </si>
  <si>
    <t>E52</t>
  </si>
  <si>
    <t>E53</t>
  </si>
  <si>
    <t>E54</t>
  </si>
  <si>
    <t>E55</t>
  </si>
  <si>
    <t>E56</t>
  </si>
  <si>
    <t>E57</t>
  </si>
  <si>
    <t>E58</t>
  </si>
  <si>
    <t>E59</t>
  </si>
  <si>
    <t>el gem förd pump sulf</t>
  </si>
  <si>
    <t xml:space="preserve">el gem förd pump NSSC </t>
  </si>
  <si>
    <t>el pump sulf gem</t>
  </si>
  <si>
    <t>el pump NSSC gem</t>
  </si>
  <si>
    <t>el pump NSSC br</t>
  </si>
  <si>
    <t>el pump sulf br</t>
  </si>
  <si>
    <t>el pump sulf</t>
  </si>
  <si>
    <t>el pump NSSC</t>
  </si>
  <si>
    <t xml:space="preserve"> - för torkning, per producerad sulfat-avsalumassa</t>
  </si>
  <si>
    <t xml:space="preserve"> - för torkning, per producerad NSSC-avsalumassa</t>
  </si>
  <si>
    <t>E60</t>
  </si>
  <si>
    <t>E61</t>
  </si>
  <si>
    <t>E62</t>
  </si>
  <si>
    <t>E63</t>
  </si>
  <si>
    <t>el pump NSSC uppm</t>
  </si>
  <si>
    <t>el pump sulf uppm</t>
  </si>
  <si>
    <t xml:space="preserve"> - totalt per producerad mängd torkad sulfat-avsalumassa</t>
  </si>
  <si>
    <t xml:space="preserve"> - för torkning per producerad mängd torkad sulfat-avsalumassa</t>
  </si>
  <si>
    <t>Q52</t>
  </si>
  <si>
    <t xml:space="preserve"> - för torkning per producerad mängd sulfat-avsalumassa</t>
  </si>
  <si>
    <t xml:space="preserve"> - för torkning per producerad mängd NSSC-avsalumassa</t>
  </si>
  <si>
    <t>B61</t>
  </si>
  <si>
    <t>B62</t>
  </si>
  <si>
    <t>B63</t>
  </si>
  <si>
    <t>sulfatmassaproduktionens del av gemensam elförbrukning som fördelats till renseriet</t>
  </si>
  <si>
    <t>NSSC-massaproduktionens del av gemensamelförbrukning som fördelats till renseriet</t>
  </si>
  <si>
    <t xml:space="preserve"> - för torkning, per produceradamängd NSSC-avsalumassa</t>
  </si>
  <si>
    <t>Q53</t>
  </si>
  <si>
    <t xml:space="preserve"> - totalt per producerad mängd torkad NSSC-avsalumassa</t>
  </si>
  <si>
    <t xml:space="preserve"> - för torkning, per producerad mängd sulfat-avsalumassa</t>
  </si>
  <si>
    <t>F53</t>
  </si>
  <si>
    <t>F54</t>
  </si>
  <si>
    <t>F55</t>
  </si>
  <si>
    <t>F56</t>
  </si>
  <si>
    <t>alt 0</t>
  </si>
  <si>
    <t>alt 1</t>
  </si>
  <si>
    <t>Ångproduktion från raffinörer</t>
  </si>
  <si>
    <t>Versionsdatum för beräkningsmodellen</t>
  </si>
  <si>
    <t>Datum för aktuell beräkning</t>
  </si>
  <si>
    <t>Verksamhetsår som beräkningen avser</t>
  </si>
  <si>
    <t>OBS! Inlagda värden är endast till för att vara exempel på hur man lägger in data, och för kontroll av att formlerna fungerar. Data är mer eller mindre slumpvis valda och representerar inte något verkligt bruk.</t>
  </si>
  <si>
    <t xml:space="preserve"> - SULFAT-, NSSC- OCH RCF-MASSA + PAPPER</t>
  </si>
  <si>
    <t>INTEGRERAT MASSA- OCH PAPPERSBRUK</t>
  </si>
  <si>
    <t>el prod mot</t>
  </si>
  <si>
    <t xml:space="preserve">summa egenproducerad värme exklusive raffinörer </t>
  </si>
  <si>
    <t>Summa bränsle direktvärme, inre systemgräns (beräknad från bränsleslag)</t>
  </si>
  <si>
    <t>Summa bränsle direktvärme, inre systemgräns (beräknad från ändamål)</t>
  </si>
  <si>
    <t>Summa bränsle direktvärme, yttre systemgräns (beräknad från bränsleslag)</t>
  </si>
  <si>
    <t>η fos ext</t>
  </si>
  <si>
    <t>202X-XX-XX</t>
  </si>
  <si>
    <t>202X</t>
  </si>
  <si>
    <t>Br sålt inre</t>
  </si>
  <si>
    <t>Summa sålt energiprod som uppkommit inom inre systemgräns</t>
  </si>
  <si>
    <t>Sålda energiprodukter</t>
  </si>
  <si>
    <t>br sålt övr sulf</t>
  </si>
  <si>
    <t>br sålt övr NSSC</t>
  </si>
  <si>
    <t>övriga sålda energiprodukter från sulfatmassaproduktionen ( t ex lignin, metanol), exkl. bark och annat biobränsle som uppkommeri vedhantering/renseri</t>
  </si>
  <si>
    <t>övriga sålda energiprodukter från NSSC-massaproduktionen, exkl. bark och annat biobränsle som uppkommeri vedhantering/renseri</t>
  </si>
  <si>
    <t>br kondensel</t>
  </si>
  <si>
    <t>br kondensel fos</t>
  </si>
  <si>
    <t>Alternativ 0: all elanvändning, inkl el till elpannor</t>
  </si>
  <si>
    <t>Alternativ 1: exkl el som används i elpanna för värmeproduktion</t>
  </si>
  <si>
    <t>Alternativ 0: all bränsleförbrukning, inkl  bränsle till pannor, inre systemgräns</t>
  </si>
  <si>
    <t>Alternativ 1: exkl bränsle till pannor, inre systemgräns</t>
  </si>
  <si>
    <t>Alternativ 0: all fossil bränsleförbrukning, inkl  bränsle till pannor</t>
  </si>
  <si>
    <t>Alternativ 1: exkl bränsle till pannor</t>
  </si>
  <si>
    <t>Alternativ 1: enbart bränsle för annat ändamål än värmeproduktion i pannor</t>
  </si>
  <si>
    <t>Alternativ 2: all användning av bränsle (inkl pannor), men yttre systemgräns (används ej för nyckeltal)</t>
  </si>
  <si>
    <t>Alternativ 1: enbart bränsle för annat ändamål än värmeproduktion i pannor, inre systemgräns</t>
  </si>
  <si>
    <r>
      <rPr>
        <b/>
        <sz val="11"/>
        <color theme="1"/>
        <rFont val="Calibri"/>
        <family val="2"/>
        <scheme val="minor"/>
      </rPr>
      <t xml:space="preserve">Övriga upplysningar </t>
    </r>
    <r>
      <rPr>
        <i/>
        <sz val="11"/>
        <color theme="1"/>
        <rFont val="Calibri"/>
        <family val="2"/>
        <scheme val="minor"/>
      </rPr>
      <t>(exempelvis: Om data bygger på annat än huvudsakligen kontinuerlig mätning; Viktiga skillnader jämfört med tidigare år; Viktiga skillnader jämfört med liknande bruk; Andra levererade nyttor och tjänster (t.ex. flexibilitet i effektuttag), som påverkar energianvändning; Övrigt som är viktigt att beakta vid tolkning av nyckeltalen)</t>
    </r>
  </si>
  <si>
    <t>produktion av papper och kartong (säljbar produkt, före ev konvertering)</t>
  </si>
  <si>
    <t>q prim såld</t>
  </si>
  <si>
    <t>q raff såld</t>
  </si>
  <si>
    <t>q sek såld</t>
  </si>
  <si>
    <t>br såld prim värme</t>
  </si>
  <si>
    <t>br såld prim värme fos</t>
  </si>
  <si>
    <t>el ext</t>
  </si>
  <si>
    <t>verkningsgrad för fossileldad energipanna som producerar ånga som levereras externt eller används vid bruket, men i anläggning utanför systemgräns för konventionell massa/pappersproduktion. Om inte verkningsgraden för pannan är känd sätts den schablonmässigt till 90 %. Lämnas tom om fossilt bränsle aldrig används för att producera sådan värme.</t>
  </si>
  <si>
    <t>fossilt bränsle som använts för att producera primärvärme som levereras externt (t.ex. till fjärrvärme)</t>
  </si>
  <si>
    <t>fossilt bränsle som använts för att producera primärvärme som används vid bruket, men utanför systemgränsen för massa- och pappersproduktionen</t>
  </si>
  <si>
    <t>verkningsgrad för barkpanna eller annan energipanna som producerar ånga som levereras externt eller används vid bruket, men i anläggning utanför systemgräns för konventionell massa/pappersproduktion. Om inte verkningsgraden för pannan är känd sätts den schablonmässigt till 85 %.</t>
  </si>
  <si>
    <t>bränsle som använts för att producera primärvärme som används vid bruket, men utanför systemgränsen för massa- och pappersproduktionen</t>
  </si>
  <si>
    <t>sekundärvärme som används i egna processer utanför systemgränsen för konventionell massa-/pappersproduktion (t.ex. för papperskonvertering eller för upparbetning av biprodukter som lignin eller metanol)</t>
  </si>
  <si>
    <t>primärvärme som används i egna processer utanför systemgränsen för konventionell massa-/pappersproduktion (t.ex. för papperskonvertering eller för upparbetning av biprodukter som lignin eller metanol)</t>
  </si>
  <si>
    <t>el som används i egna processer utanför systemgränsen för konventionell massa-/pappersproduktion (t.ex. för papperskonvertering eller för upparbetning av biprodukter som lignin eller metanol)</t>
  </si>
  <si>
    <t xml:space="preserve"> Alternativ 0: värmeförbrukning inklusive raffinörsånga</t>
  </si>
  <si>
    <t xml:space="preserve"> Alternativ 1: exklusive raffinörsånga</t>
  </si>
  <si>
    <t>sekundärvärme som tillvaratas från produktionen av NSSC-pumpmassa (exkl. renseri). Exkl raffinörsånga</t>
  </si>
  <si>
    <t>ånga som produceras i ångomformare för ångåtervinning från raffinörer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</si>
</sst>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34" x14ac:knownFonts="1">
    <font>
      <sz val="11"/>
      <color theme="1"/>
      <name val="Calibri"/>
      <family val="2"/>
      <scheme val="minor"/>
    </font>
    <font>
      <b/>
      <sz val="11"/>
      <color theme="1"/>
      <name val="Calibri"/>
      <family val="2"/>
      <scheme val="minor"/>
    </font>
    <font>
      <b/>
      <i/>
      <sz val="18"/>
      <color theme="3" tint="-0.249977111117893"/>
      <name val="Franklin Gothic Book"/>
      <family val="2"/>
    </font>
    <font>
      <i/>
      <sz val="11"/>
      <color theme="1"/>
      <name val="Calibri"/>
      <family val="2"/>
      <scheme val="minor"/>
    </font>
    <font>
      <sz val="11"/>
      <color theme="3" tint="-0.249977111117893"/>
      <name val="Calibri"/>
      <family val="2"/>
      <scheme val="minor"/>
    </font>
    <font>
      <sz val="11"/>
      <color rgb="FF4B876C"/>
      <name val="Calibri"/>
      <family val="2"/>
      <scheme val="minor"/>
    </font>
    <font>
      <b/>
      <sz val="11"/>
      <color theme="3" tint="-0.249977111117893"/>
      <name val="Calibri"/>
      <family val="2"/>
      <scheme val="minor"/>
    </font>
    <font>
      <sz val="12"/>
      <color theme="1"/>
      <name val="Calibri"/>
      <family val="2"/>
      <scheme val="minor"/>
    </font>
    <font>
      <sz val="11"/>
      <name val="Calibri"/>
      <family val="2"/>
      <scheme val="minor"/>
    </font>
    <font>
      <b/>
      <sz val="11"/>
      <color rgb="FFFF0000"/>
      <name val="Calibri"/>
      <family val="2"/>
      <scheme val="minor"/>
    </font>
    <font>
      <sz val="11"/>
      <color theme="4"/>
      <name val="Calibri"/>
      <family val="2"/>
      <scheme val="minor"/>
    </font>
    <font>
      <sz val="8"/>
      <name val="Calibri"/>
      <family val="2"/>
      <scheme val="minor"/>
    </font>
    <font>
      <b/>
      <sz val="16"/>
      <color theme="1"/>
      <name val="Calibri"/>
      <family val="2"/>
      <scheme val="minor"/>
    </font>
    <font>
      <sz val="11"/>
      <color rgb="FF0070C0"/>
      <name val="Calibri"/>
      <family val="2"/>
      <scheme val="minor"/>
    </font>
    <font>
      <b/>
      <sz val="11"/>
      <color rgb="FF0070C0"/>
      <name val="Calibri"/>
      <family val="2"/>
      <scheme val="minor"/>
    </font>
    <font>
      <sz val="9"/>
      <color indexed="81"/>
      <name val="Tahoma"/>
      <family val="2"/>
    </font>
    <font>
      <b/>
      <sz val="9"/>
      <color indexed="81"/>
      <name val="Tahoma"/>
      <family val="2"/>
    </font>
    <font>
      <sz val="11"/>
      <color rgb="FFFF0000"/>
      <name val="Calibri"/>
      <family val="2"/>
      <scheme val="minor"/>
    </font>
    <font>
      <b/>
      <sz val="16"/>
      <color theme="3" tint="-0.249977111117893"/>
      <name val="Calibri"/>
      <family val="2"/>
      <scheme val="minor"/>
    </font>
    <font>
      <b/>
      <i/>
      <sz val="11"/>
      <color theme="1"/>
      <name val="Calibri"/>
      <family val="2"/>
      <scheme val="minor"/>
    </font>
    <font>
      <sz val="11"/>
      <color theme="1"/>
      <name val="Calibri"/>
      <family val="2"/>
      <scheme val="minor"/>
    </font>
    <font>
      <b/>
      <i/>
      <sz val="11"/>
      <name val="Calibri"/>
      <family val="2"/>
      <scheme val="minor"/>
    </font>
    <font>
      <sz val="11"/>
      <color theme="1"/>
      <name val="Calibri"/>
      <family val="2"/>
    </font>
    <font>
      <b/>
      <sz val="11"/>
      <name val="Calibri"/>
      <family val="2"/>
      <scheme val="minor"/>
    </font>
    <font>
      <b/>
      <sz val="16"/>
      <color rgb="FFFF0000"/>
      <name val="Calibri"/>
      <family val="2"/>
      <scheme val="minor"/>
    </font>
    <font>
      <i/>
      <sz val="11"/>
      <name val="Calibri"/>
      <family val="2"/>
      <scheme val="minor"/>
    </font>
    <font>
      <sz val="12"/>
      <color rgb="FFFF0000"/>
      <name val="Calibri"/>
      <family val="2"/>
      <scheme val="minor"/>
    </font>
    <font>
      <b/>
      <i/>
      <sz val="11"/>
      <color rgb="FFFF0000"/>
      <name val="Calibri"/>
      <family val="2"/>
      <scheme val="minor"/>
    </font>
    <font>
      <i/>
      <sz val="11"/>
      <color rgb="FF0070C0"/>
      <name val="Calibri"/>
      <family val="2"/>
      <scheme val="minor"/>
    </font>
    <font>
      <b/>
      <sz val="18"/>
      <color theme="1"/>
      <name val="Calibri"/>
      <family val="2"/>
      <scheme val="minor"/>
    </font>
    <font>
      <b/>
      <sz val="18"/>
      <name val="Calibri"/>
      <family val="2"/>
      <scheme val="minor"/>
    </font>
    <font>
      <b/>
      <sz val="16"/>
      <color rgb="FF0070C0"/>
      <name val="Calibri"/>
      <family val="2"/>
      <scheme val="minor"/>
    </font>
    <font>
      <b/>
      <sz val="12"/>
      <name val="Calibri"/>
      <family val="2"/>
      <scheme val="minor"/>
    </font>
    <font>
      <b/>
      <sz val="16"/>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6" tint="0.39997558519241921"/>
        <bgColor indexed="65"/>
      </patternFill>
    </fill>
  </fills>
  <borders count="51">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3743705557422"/>
      </bottom>
      <diagonal/>
    </border>
    <border>
      <left/>
      <right/>
      <top/>
      <bottom style="thin">
        <color theme="0" tint="-0.14993743705557422"/>
      </bottom>
      <diagonal/>
    </border>
    <border>
      <left style="medium">
        <color indexed="64"/>
      </left>
      <right/>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bottom style="thin">
        <color indexed="64"/>
      </bottom>
      <diagonal/>
    </border>
    <border>
      <left style="medium">
        <color indexed="64"/>
      </left>
      <right/>
      <top style="thin">
        <color indexed="64"/>
      </top>
      <bottom/>
      <diagonal/>
    </border>
    <border>
      <left style="thin">
        <color theme="0" tint="-0.14996795556505021"/>
      </left>
      <right/>
      <top style="thin">
        <color indexed="64"/>
      </top>
      <bottom/>
      <diagonal/>
    </border>
    <border>
      <left style="thin">
        <color theme="0" tint="-0.14996795556505021"/>
      </left>
      <right/>
      <top/>
      <bottom/>
      <diagonal/>
    </border>
    <border>
      <left/>
      <right style="medium">
        <color indexed="64"/>
      </right>
      <top/>
      <bottom style="thin">
        <color indexed="64"/>
      </bottom>
      <diagonal/>
    </border>
    <border>
      <left style="thin">
        <color theme="0" tint="-0.14996795556505021"/>
      </left>
      <right/>
      <top/>
      <bottom style="thin">
        <color theme="0" tint="-0.14993743705557422"/>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s>
  <cellStyleXfs count="3">
    <xf numFmtId="0" fontId="0" fillId="0" borderId="0"/>
    <xf numFmtId="9" fontId="20" fillId="0" borderId="0" applyFont="0" applyFill="0" applyBorder="0" applyAlignment="0" applyProtection="0"/>
    <xf numFmtId="0" fontId="20" fillId="9" borderId="0" applyNumberFormat="0" applyBorder="0" applyAlignment="0" applyProtection="0"/>
  </cellStyleXfs>
  <cellXfs count="375">
    <xf numFmtId="0" fontId="0" fillId="0" borderId="0" xfId="0"/>
    <xf numFmtId="0" fontId="2" fillId="0" borderId="0" xfId="0" applyFont="1"/>
    <xf numFmtId="0" fontId="0" fillId="0" borderId="0" xfId="0" applyAlignment="1">
      <alignment wrapText="1"/>
    </xf>
    <xf numFmtId="0" fontId="0" fillId="0" borderId="1" xfId="0" applyBorder="1" applyAlignment="1">
      <alignment wrapText="1"/>
    </xf>
    <xf numFmtId="0" fontId="1" fillId="0" borderId="0" xfId="0" applyFont="1" applyAlignment="1">
      <alignment wrapText="1"/>
    </xf>
    <xf numFmtId="0" fontId="18" fillId="0" borderId="0" xfId="0" applyFont="1"/>
    <xf numFmtId="0" fontId="0" fillId="5" borderId="0" xfId="0" applyFill="1" applyAlignment="1">
      <alignment wrapText="1"/>
    </xf>
    <xf numFmtId="0" fontId="1" fillId="5" borderId="0" xfId="0" applyFont="1" applyFill="1" applyAlignment="1">
      <alignment wrapText="1"/>
    </xf>
    <xf numFmtId="0" fontId="2" fillId="0" borderId="0" xfId="0" applyFont="1" applyAlignment="1">
      <alignment wrapText="1"/>
    </xf>
    <xf numFmtId="0" fontId="5" fillId="0" borderId="0" xfId="0" applyFont="1" applyAlignment="1">
      <alignment wrapText="1"/>
    </xf>
    <xf numFmtId="0" fontId="6" fillId="0" borderId="1" xfId="0" applyFont="1" applyBorder="1" applyAlignment="1">
      <alignment wrapText="1"/>
    </xf>
    <xf numFmtId="3" fontId="10" fillId="5" borderId="0" xfId="0" applyNumberFormat="1" applyFont="1" applyFill="1" applyAlignment="1">
      <alignment wrapText="1"/>
    </xf>
    <xf numFmtId="0" fontId="4" fillId="5" borderId="0" xfId="0" applyFont="1" applyFill="1" applyAlignment="1">
      <alignment wrapText="1"/>
    </xf>
    <xf numFmtId="0" fontId="7" fillId="0" borderId="0" xfId="0" applyFont="1" applyAlignment="1">
      <alignment wrapText="1"/>
    </xf>
    <xf numFmtId="0" fontId="17" fillId="0" borderId="0" xfId="0" applyFont="1" applyAlignment="1">
      <alignment wrapText="1"/>
    </xf>
    <xf numFmtId="0" fontId="17" fillId="5" borderId="0" xfId="0" applyFont="1" applyFill="1" applyAlignment="1">
      <alignment wrapText="1"/>
    </xf>
    <xf numFmtId="3" fontId="0" fillId="5" borderId="0" xfId="0" applyNumberFormat="1" applyFill="1" applyAlignment="1">
      <alignment wrapText="1"/>
    </xf>
    <xf numFmtId="0" fontId="3" fillId="0" borderId="0" xfId="0" applyFont="1" applyAlignment="1">
      <alignment wrapText="1"/>
    </xf>
    <xf numFmtId="3" fontId="10" fillId="0" borderId="0" xfId="0" applyNumberFormat="1" applyFont="1" applyAlignment="1">
      <alignment wrapText="1"/>
    </xf>
    <xf numFmtId="0" fontId="4" fillId="0" borderId="0" xfId="0" applyFont="1" applyAlignment="1">
      <alignment wrapText="1"/>
    </xf>
    <xf numFmtId="0" fontId="0" fillId="0" borderId="8" xfId="0" applyBorder="1" applyAlignment="1">
      <alignment wrapText="1"/>
    </xf>
    <xf numFmtId="0" fontId="0" fillId="0" borderId="10" xfId="0" applyBorder="1" applyAlignment="1">
      <alignment wrapText="1"/>
    </xf>
    <xf numFmtId="0" fontId="0" fillId="0" borderId="12" xfId="0" applyBorder="1" applyAlignment="1">
      <alignment wrapText="1"/>
    </xf>
    <xf numFmtId="0" fontId="8" fillId="0" borderId="0" xfId="0" applyFont="1" applyAlignment="1">
      <alignment wrapText="1"/>
    </xf>
    <xf numFmtId="0" fontId="1" fillId="0" borderId="7" xfId="0" applyFont="1" applyBorder="1" applyAlignment="1">
      <alignment wrapText="1"/>
    </xf>
    <xf numFmtId="0" fontId="1" fillId="0" borderId="8" xfId="0" applyFont="1" applyBorder="1" applyAlignment="1">
      <alignment wrapText="1"/>
    </xf>
    <xf numFmtId="0" fontId="0" fillId="0" borderId="0" xfId="0" applyAlignment="1">
      <alignment horizontal="center" wrapText="1"/>
    </xf>
    <xf numFmtId="0" fontId="1" fillId="0" borderId="18" xfId="0" applyFont="1" applyBorder="1" applyAlignment="1">
      <alignment wrapText="1"/>
    </xf>
    <xf numFmtId="0" fontId="19" fillId="0" borderId="8" xfId="0" applyFont="1" applyBorder="1" applyAlignment="1">
      <alignment wrapText="1"/>
    </xf>
    <xf numFmtId="0" fontId="19" fillId="0" borderId="8" xfId="0" applyFont="1" applyBorder="1" applyAlignment="1">
      <alignment horizontal="left" wrapText="1"/>
    </xf>
    <xf numFmtId="0" fontId="0" fillId="0" borderId="0" xfId="0" applyAlignment="1">
      <alignment horizontal="right" wrapText="1"/>
    </xf>
    <xf numFmtId="0" fontId="0" fillId="0" borderId="1" xfId="0" applyBorder="1" applyAlignment="1">
      <alignment horizontal="right" wrapText="1"/>
    </xf>
    <xf numFmtId="0" fontId="8" fillId="0" borderId="1" xfId="0" applyFont="1" applyBorder="1" applyAlignment="1">
      <alignment horizontal="right" wrapText="1"/>
    </xf>
    <xf numFmtId="0" fontId="6" fillId="0" borderId="0" xfId="0" applyFont="1" applyAlignment="1">
      <alignment wrapText="1"/>
    </xf>
    <xf numFmtId="0" fontId="8" fillId="0" borderId="0" xfId="0" applyFont="1" applyAlignment="1">
      <alignment horizontal="right" wrapText="1"/>
    </xf>
    <xf numFmtId="2" fontId="0" fillId="0" borderId="0" xfId="0" applyNumberFormat="1" applyAlignment="1">
      <alignment wrapText="1"/>
    </xf>
    <xf numFmtId="164" fontId="0" fillId="0" borderId="0" xfId="0" applyNumberFormat="1" applyAlignment="1">
      <alignment wrapText="1"/>
    </xf>
    <xf numFmtId="1" fontId="0" fillId="0" borderId="0" xfId="0" applyNumberFormat="1" applyAlignment="1">
      <alignment wrapText="1"/>
    </xf>
    <xf numFmtId="1" fontId="1" fillId="0" borderId="0" xfId="0" applyNumberFormat="1" applyFont="1" applyAlignment="1">
      <alignment wrapText="1"/>
    </xf>
    <xf numFmtId="0" fontId="1" fillId="0" borderId="17" xfId="0" applyFont="1" applyBorder="1" applyAlignment="1">
      <alignment horizontal="center" wrapText="1"/>
    </xf>
    <xf numFmtId="0" fontId="1" fillId="0" borderId="15" xfId="0" applyFont="1" applyBorder="1" applyAlignment="1">
      <alignment horizontal="center" wrapText="1"/>
    </xf>
    <xf numFmtId="0" fontId="0" fillId="0" borderId="10" xfId="0" applyBorder="1" applyAlignment="1">
      <alignment horizontal="center" wrapText="1"/>
    </xf>
    <xf numFmtId="164" fontId="0" fillId="4" borderId="11" xfId="0" applyNumberFormat="1" applyFill="1" applyBorder="1" applyAlignment="1">
      <alignment horizontal="right" wrapText="1"/>
    </xf>
    <xf numFmtId="164" fontId="0" fillId="4" borderId="13" xfId="0" applyNumberFormat="1" applyFill="1" applyBorder="1" applyAlignment="1">
      <alignment horizontal="right" wrapText="1"/>
    </xf>
    <xf numFmtId="164" fontId="0" fillId="4" borderId="9" xfId="0" applyNumberFormat="1" applyFill="1" applyBorder="1" applyAlignment="1">
      <alignment horizontal="right" wrapText="1"/>
    </xf>
    <xf numFmtId="1" fontId="0" fillId="4" borderId="11" xfId="0" applyNumberFormat="1" applyFill="1" applyBorder="1" applyAlignment="1">
      <alignment horizontal="right" wrapText="1"/>
    </xf>
    <xf numFmtId="1" fontId="0" fillId="4" borderId="13" xfId="0" applyNumberFormat="1" applyFill="1" applyBorder="1" applyAlignment="1">
      <alignment horizontal="right" wrapText="1"/>
    </xf>
    <xf numFmtId="0" fontId="0" fillId="0" borderId="7" xfId="0" applyBorder="1" applyAlignment="1">
      <alignment horizontal="center" wrapText="1"/>
    </xf>
    <xf numFmtId="3" fontId="10" fillId="3" borderId="9" xfId="0" applyNumberFormat="1" applyFont="1" applyFill="1" applyBorder="1" applyAlignment="1">
      <alignment horizontal="left" wrapText="1"/>
    </xf>
    <xf numFmtId="3" fontId="10" fillId="3" borderId="11" xfId="0" applyNumberFormat="1" applyFont="1" applyFill="1" applyBorder="1" applyAlignment="1">
      <alignment horizontal="left" wrapText="1"/>
    </xf>
    <xf numFmtId="0" fontId="0" fillId="0" borderId="12" xfId="0" applyBorder="1" applyAlignment="1">
      <alignment horizontal="center" wrapText="1"/>
    </xf>
    <xf numFmtId="3" fontId="0" fillId="4" borderId="13" xfId="0" applyNumberFormat="1" applyFill="1" applyBorder="1" applyAlignment="1">
      <alignment wrapText="1"/>
    </xf>
    <xf numFmtId="3" fontId="8" fillId="4" borderId="13" xfId="0" applyNumberFormat="1" applyFont="1" applyFill="1" applyBorder="1" applyAlignment="1">
      <alignment horizontal="right" wrapText="1"/>
    </xf>
    <xf numFmtId="3" fontId="10" fillId="3" borderId="13" xfId="0" applyNumberFormat="1" applyFont="1" applyFill="1" applyBorder="1" applyAlignment="1">
      <alignment horizontal="left" wrapText="1"/>
    </xf>
    <xf numFmtId="3" fontId="10" fillId="3" borderId="11" xfId="0" applyNumberFormat="1" applyFont="1" applyFill="1" applyBorder="1" applyAlignment="1">
      <alignment horizontal="center" wrapText="1"/>
    </xf>
    <xf numFmtId="3" fontId="8" fillId="4" borderId="11" xfId="0" applyNumberFormat="1" applyFont="1" applyFill="1" applyBorder="1" applyAlignment="1">
      <alignment horizontal="right" wrapText="1"/>
    </xf>
    <xf numFmtId="3" fontId="13" fillId="3" borderId="11" xfId="0" applyNumberFormat="1" applyFont="1" applyFill="1" applyBorder="1" applyAlignment="1">
      <alignment horizontal="center" wrapText="1"/>
    </xf>
    <xf numFmtId="3" fontId="0" fillId="4" borderId="11" xfId="0" applyNumberFormat="1" applyFill="1" applyBorder="1" applyAlignment="1">
      <alignment wrapText="1"/>
    </xf>
    <xf numFmtId="0" fontId="1" fillId="0" borderId="7" xfId="0" applyFont="1" applyBorder="1" applyAlignment="1">
      <alignment horizontal="center" wrapText="1"/>
    </xf>
    <xf numFmtId="0" fontId="1" fillId="0" borderId="9" xfId="0" applyFont="1" applyBorder="1" applyAlignment="1">
      <alignment horizontal="center" wrapText="1"/>
    </xf>
    <xf numFmtId="3" fontId="0" fillId="4" borderId="9" xfId="0" applyNumberFormat="1" applyFill="1" applyBorder="1" applyAlignment="1">
      <alignment horizontal="right" wrapText="1"/>
    </xf>
    <xf numFmtId="0" fontId="18" fillId="0" borderId="1" xfId="0" applyFont="1" applyBorder="1"/>
    <xf numFmtId="3" fontId="13" fillId="3" borderId="11" xfId="0" applyNumberFormat="1" applyFont="1" applyFill="1" applyBorder="1" applyAlignment="1">
      <alignment horizontal="left" wrapText="1"/>
    </xf>
    <xf numFmtId="3" fontId="8" fillId="4" borderId="11" xfId="0" applyNumberFormat="1" applyFont="1" applyFill="1" applyBorder="1" applyAlignment="1">
      <alignment wrapText="1"/>
    </xf>
    <xf numFmtId="3" fontId="0" fillId="4" borderId="11" xfId="0" applyNumberFormat="1" applyFill="1" applyBorder="1" applyAlignment="1">
      <alignment horizontal="right" wrapText="1"/>
    </xf>
    <xf numFmtId="3" fontId="13" fillId="0" borderId="9" xfId="0" applyNumberFormat="1" applyFont="1" applyBorder="1" applyAlignment="1">
      <alignment wrapText="1"/>
    </xf>
    <xf numFmtId="3" fontId="8" fillId="2" borderId="13" xfId="0" applyNumberFormat="1" applyFont="1" applyFill="1" applyBorder="1" applyAlignment="1">
      <alignment wrapText="1"/>
    </xf>
    <xf numFmtId="3" fontId="8" fillId="0" borderId="9" xfId="0" applyNumberFormat="1" applyFont="1" applyBorder="1" applyAlignment="1">
      <alignment wrapText="1"/>
    </xf>
    <xf numFmtId="3" fontId="8" fillId="7" borderId="11" xfId="0" applyNumberFormat="1" applyFont="1" applyFill="1" applyBorder="1" applyAlignment="1">
      <alignment horizontal="left" wrapText="1"/>
    </xf>
    <xf numFmtId="4" fontId="13" fillId="3" borderId="11" xfId="0" applyNumberFormat="1" applyFont="1" applyFill="1" applyBorder="1" applyAlignment="1">
      <alignment horizontal="left" wrapText="1"/>
    </xf>
    <xf numFmtId="3" fontId="0" fillId="0" borderId="9" xfId="0" applyNumberFormat="1" applyBorder="1" applyAlignment="1">
      <alignment horizontal="right" wrapText="1"/>
    </xf>
    <xf numFmtId="0" fontId="0" fillId="0" borderId="24" xfId="0" applyBorder="1"/>
    <xf numFmtId="0" fontId="0" fillId="0" borderId="21" xfId="0" applyBorder="1" applyAlignment="1">
      <alignment wrapText="1"/>
    </xf>
    <xf numFmtId="0" fontId="12" fillId="8" borderId="14" xfId="0" applyFont="1" applyFill="1" applyBorder="1"/>
    <xf numFmtId="0" fontId="0" fillId="0" borderId="0" xfId="0" applyAlignment="1">
      <alignment horizontal="left" wrapText="1"/>
    </xf>
    <xf numFmtId="3" fontId="0" fillId="4" borderId="15" xfId="0" applyNumberFormat="1" applyFill="1" applyBorder="1" applyAlignment="1">
      <alignment wrapText="1"/>
    </xf>
    <xf numFmtId="0" fontId="1" fillId="0" borderId="0" xfId="0" applyFont="1" applyAlignment="1">
      <alignment horizontal="center" wrapText="1"/>
    </xf>
    <xf numFmtId="0" fontId="1" fillId="0" borderId="0" xfId="0" applyFont="1" applyAlignment="1">
      <alignment horizontal="left" wrapText="1"/>
    </xf>
    <xf numFmtId="4" fontId="8" fillId="4" borderId="11" xfId="0" applyNumberFormat="1" applyFont="1" applyFill="1" applyBorder="1" applyAlignment="1">
      <alignment horizontal="right" wrapText="1"/>
    </xf>
    <xf numFmtId="0" fontId="8" fillId="0" borderId="0" xfId="0" applyFont="1" applyAlignment="1">
      <alignment horizontal="left" wrapText="1"/>
    </xf>
    <xf numFmtId="0" fontId="0" fillId="0" borderId="1" xfId="0" applyBorder="1" applyAlignment="1">
      <alignment horizontal="center" wrapText="1"/>
    </xf>
    <xf numFmtId="0" fontId="0" fillId="2" borderId="1" xfId="0" applyFill="1" applyBorder="1" applyAlignment="1">
      <alignment horizontal="right" wrapText="1"/>
    </xf>
    <xf numFmtId="3" fontId="8" fillId="2" borderId="13" xfId="0" applyNumberFormat="1" applyFont="1" applyFill="1" applyBorder="1" applyAlignment="1">
      <alignment horizontal="right" wrapText="1"/>
    </xf>
    <xf numFmtId="0" fontId="21" fillId="0" borderId="8" xfId="0" applyFont="1" applyBorder="1" applyAlignment="1">
      <alignment wrapText="1"/>
    </xf>
    <xf numFmtId="0" fontId="0" fillId="0" borderId="18" xfId="0" applyBorder="1" applyAlignment="1">
      <alignment wrapText="1"/>
    </xf>
    <xf numFmtId="0" fontId="0" fillId="0" borderId="1" xfId="0" applyBorder="1" applyAlignment="1">
      <alignment horizontal="left" wrapText="1"/>
    </xf>
    <xf numFmtId="0" fontId="1" fillId="0" borderId="0" xfId="0" applyFont="1"/>
    <xf numFmtId="0" fontId="21" fillId="0" borderId="8" xfId="0" applyFont="1" applyBorder="1" applyAlignment="1">
      <alignment horizontal="left" wrapText="1"/>
    </xf>
    <xf numFmtId="0" fontId="9" fillId="0" borderId="0" xfId="0" applyFont="1" applyAlignment="1">
      <alignment horizontal="left" wrapText="1"/>
    </xf>
    <xf numFmtId="3" fontId="10" fillId="0" borderId="25" xfId="0" applyNumberFormat="1" applyFont="1" applyBorder="1" applyAlignment="1">
      <alignment horizontal="left" wrapText="1"/>
    </xf>
    <xf numFmtId="0" fontId="0" fillId="0" borderId="26" xfId="0" applyBorder="1" applyAlignment="1">
      <alignment wrapText="1"/>
    </xf>
    <xf numFmtId="3" fontId="10" fillId="0" borderId="27" xfId="0" applyNumberFormat="1" applyFont="1" applyBorder="1" applyAlignment="1">
      <alignment horizontal="left" wrapText="1"/>
    </xf>
    <xf numFmtId="0" fontId="1" fillId="9" borderId="27" xfId="2" applyFont="1" applyBorder="1"/>
    <xf numFmtId="0" fontId="1" fillId="0" borderId="0" xfId="0" quotePrefix="1" applyFont="1"/>
    <xf numFmtId="3" fontId="10" fillId="3" borderId="27" xfId="0" applyNumberFormat="1" applyFont="1" applyFill="1" applyBorder="1" applyAlignment="1">
      <alignment horizontal="left" wrapText="1"/>
    </xf>
    <xf numFmtId="0" fontId="0" fillId="0" borderId="26" xfId="0" quotePrefix="1" applyBorder="1" applyAlignment="1">
      <alignment wrapText="1"/>
    </xf>
    <xf numFmtId="0" fontId="0" fillId="0" borderId="11" xfId="0" applyBorder="1"/>
    <xf numFmtId="0" fontId="1" fillId="0" borderId="28" xfId="2" applyFont="1" applyFill="1" applyBorder="1"/>
    <xf numFmtId="3" fontId="10" fillId="0" borderId="28" xfId="0" applyNumberFormat="1" applyFont="1" applyBorder="1" applyAlignment="1">
      <alignment horizontal="left" wrapText="1"/>
    </xf>
    <xf numFmtId="0" fontId="1" fillId="0" borderId="0" xfId="2" applyFont="1" applyFill="1" applyBorder="1"/>
    <xf numFmtId="0" fontId="0" fillId="0" borderId="29" xfId="0" applyBorder="1"/>
    <xf numFmtId="0" fontId="0" fillId="0" borderId="30" xfId="0" applyBorder="1" applyAlignment="1">
      <alignment wrapText="1"/>
    </xf>
    <xf numFmtId="0" fontId="12" fillId="8" borderId="14" xfId="0" applyFont="1" applyFill="1" applyBorder="1" applyAlignment="1">
      <alignment horizontal="left"/>
    </xf>
    <xf numFmtId="0" fontId="9" fillId="0" borderId="0" xfId="0" applyFont="1" applyAlignment="1">
      <alignment wrapText="1"/>
    </xf>
    <xf numFmtId="0" fontId="13" fillId="3" borderId="11" xfId="0" applyFont="1" applyFill="1" applyBorder="1" applyAlignment="1">
      <alignment horizontal="left" wrapText="1"/>
    </xf>
    <xf numFmtId="0" fontId="22" fillId="0" borderId="1" xfId="0" applyFont="1" applyBorder="1" applyAlignment="1">
      <alignment wrapText="1"/>
    </xf>
    <xf numFmtId="0" fontId="22" fillId="0" borderId="0" xfId="0" applyFont="1" applyAlignment="1">
      <alignment wrapText="1"/>
    </xf>
    <xf numFmtId="1" fontId="0" fillId="4" borderId="9" xfId="0" applyNumberFormat="1" applyFill="1" applyBorder="1" applyAlignment="1">
      <alignment horizontal="right" wrapText="1"/>
    </xf>
    <xf numFmtId="0" fontId="0" fillId="0" borderId="8" xfId="0" applyBorder="1" applyAlignment="1">
      <alignment horizontal="left" wrapText="1"/>
    </xf>
    <xf numFmtId="3" fontId="8" fillId="4" borderId="9" xfId="0" applyNumberFormat="1" applyFont="1" applyFill="1" applyBorder="1" applyAlignment="1">
      <alignment horizontal="right" wrapText="1"/>
    </xf>
    <xf numFmtId="164" fontId="0" fillId="4" borderId="11" xfId="0" applyNumberFormat="1" applyFill="1" applyBorder="1" applyAlignment="1">
      <alignment wrapText="1"/>
    </xf>
    <xf numFmtId="1" fontId="0" fillId="4" borderId="11" xfId="0" applyNumberFormat="1" applyFill="1" applyBorder="1" applyAlignment="1">
      <alignment wrapText="1"/>
    </xf>
    <xf numFmtId="3" fontId="13" fillId="3" borderId="13" xfId="0" applyNumberFormat="1" applyFont="1" applyFill="1" applyBorder="1" applyAlignment="1">
      <alignment horizontal="center" wrapText="1"/>
    </xf>
    <xf numFmtId="0" fontId="8" fillId="0" borderId="8" xfId="0" applyFont="1" applyBorder="1" applyAlignment="1">
      <alignment wrapText="1"/>
    </xf>
    <xf numFmtId="0" fontId="1" fillId="9" borderId="26" xfId="2" applyFont="1" applyBorder="1"/>
    <xf numFmtId="3" fontId="10" fillId="3" borderId="25" xfId="0" applyNumberFormat="1" applyFont="1" applyFill="1" applyBorder="1" applyAlignment="1">
      <alignment horizontal="left" wrapText="1"/>
    </xf>
    <xf numFmtId="0" fontId="1" fillId="9" borderId="31" xfId="2" applyFont="1" applyBorder="1" applyAlignment="1">
      <alignment horizontal="center" vertical="center"/>
    </xf>
    <xf numFmtId="0" fontId="1" fillId="0" borderId="11" xfId="0" applyFont="1" applyBorder="1" applyAlignment="1">
      <alignment horizontal="center" wrapText="1"/>
    </xf>
    <xf numFmtId="49" fontId="1" fillId="3" borderId="16" xfId="0" applyNumberFormat="1" applyFont="1" applyFill="1" applyBorder="1"/>
    <xf numFmtId="0" fontId="1" fillId="4" borderId="2" xfId="0" applyFont="1" applyFill="1" applyBorder="1"/>
    <xf numFmtId="0" fontId="1" fillId="4" borderId="3" xfId="0" applyFont="1" applyFill="1" applyBorder="1"/>
    <xf numFmtId="0" fontId="1" fillId="6" borderId="2" xfId="0" applyFont="1" applyFill="1" applyBorder="1"/>
    <xf numFmtId="0" fontId="1" fillId="6" borderId="3" xfId="0" applyFont="1" applyFill="1" applyBorder="1"/>
    <xf numFmtId="0" fontId="1" fillId="2" borderId="2" xfId="0" applyFont="1" applyFill="1" applyBorder="1"/>
    <xf numFmtId="0" fontId="1" fillId="2" borderId="3" xfId="0" applyFont="1" applyFill="1" applyBorder="1"/>
    <xf numFmtId="3" fontId="13" fillId="3" borderId="13" xfId="0" applyNumberFormat="1" applyFont="1" applyFill="1" applyBorder="1" applyAlignment="1">
      <alignment horizontal="left" wrapText="1"/>
    </xf>
    <xf numFmtId="0" fontId="12" fillId="0" borderId="19" xfId="0" applyFont="1" applyBorder="1" applyAlignment="1">
      <alignment wrapText="1"/>
    </xf>
    <xf numFmtId="0" fontId="0" fillId="0" borderId="20" xfId="0" applyBorder="1" applyAlignment="1">
      <alignment wrapText="1"/>
    </xf>
    <xf numFmtId="0" fontId="1" fillId="9" borderId="25" xfId="2" applyFont="1" applyBorder="1"/>
    <xf numFmtId="0" fontId="23" fillId="0" borderId="1" xfId="0" quotePrefix="1" applyFont="1" applyBorder="1"/>
    <xf numFmtId="0" fontId="0" fillId="0" borderId="36" xfId="0" applyBorder="1" applyAlignment="1">
      <alignment wrapText="1"/>
    </xf>
    <xf numFmtId="3" fontId="10" fillId="0" borderId="35" xfId="0" applyNumberFormat="1" applyFont="1" applyBorder="1" applyAlignment="1">
      <alignment horizontal="left" wrapText="1"/>
    </xf>
    <xf numFmtId="0" fontId="1" fillId="0" borderId="1" xfId="0" applyFont="1" applyBorder="1"/>
    <xf numFmtId="0" fontId="17" fillId="0" borderId="26" xfId="0" applyFont="1" applyBorder="1" applyAlignment="1">
      <alignment wrapText="1"/>
    </xf>
    <xf numFmtId="0" fontId="17" fillId="0" borderId="36" xfId="0" applyFont="1" applyBorder="1" applyAlignment="1">
      <alignment wrapText="1"/>
    </xf>
    <xf numFmtId="0" fontId="17" fillId="0" borderId="0" xfId="0" applyFont="1"/>
    <xf numFmtId="0" fontId="8" fillId="0" borderId="1" xfId="0" applyFont="1" applyBorder="1" applyAlignment="1">
      <alignment wrapText="1"/>
    </xf>
    <xf numFmtId="0" fontId="8" fillId="0" borderId="7" xfId="0" applyFont="1" applyBorder="1" applyAlignment="1">
      <alignment horizontal="center" wrapText="1"/>
    </xf>
    <xf numFmtId="0" fontId="8" fillId="0" borderId="10" xfId="0" applyFont="1" applyBorder="1" applyAlignment="1">
      <alignment horizontal="center" wrapText="1"/>
    </xf>
    <xf numFmtId="0" fontId="8" fillId="0" borderId="12" xfId="0" applyFont="1" applyBorder="1" applyAlignment="1">
      <alignment horizontal="center" wrapText="1"/>
    </xf>
    <xf numFmtId="0" fontId="24" fillId="0" borderId="0" xfId="0" applyFont="1"/>
    <xf numFmtId="0" fontId="9" fillId="0" borderId="25" xfId="2" applyFont="1" applyFill="1" applyBorder="1"/>
    <xf numFmtId="0" fontId="17" fillId="0" borderId="26" xfId="0" quotePrefix="1" applyFont="1" applyBorder="1" applyAlignment="1">
      <alignment wrapText="1"/>
    </xf>
    <xf numFmtId="3" fontId="17" fillId="0" borderId="25" xfId="0" applyNumberFormat="1" applyFont="1" applyBorder="1" applyAlignment="1">
      <alignment horizontal="left" wrapText="1"/>
    </xf>
    <xf numFmtId="0" fontId="9" fillId="0" borderId="0" xfId="0" applyFont="1"/>
    <xf numFmtId="0" fontId="17" fillId="0" borderId="36" xfId="0" quotePrefix="1" applyFont="1" applyBorder="1" applyAlignment="1">
      <alignment wrapText="1"/>
    </xf>
    <xf numFmtId="0" fontId="1" fillId="0" borderId="28" xfId="0" applyFont="1" applyBorder="1"/>
    <xf numFmtId="0" fontId="23" fillId="9" borderId="26" xfId="2" applyFont="1" applyBorder="1"/>
    <xf numFmtId="0" fontId="23" fillId="0" borderId="0" xfId="0" applyFont="1" applyAlignment="1">
      <alignment horizontal="center" wrapText="1"/>
    </xf>
    <xf numFmtId="0" fontId="25" fillId="0" borderId="11" xfId="0" applyFont="1" applyBorder="1" applyAlignment="1">
      <alignment horizontal="left" wrapText="1"/>
    </xf>
    <xf numFmtId="0" fontId="23" fillId="0" borderId="0" xfId="0" applyFont="1" applyAlignment="1">
      <alignment wrapText="1"/>
    </xf>
    <xf numFmtId="0" fontId="23" fillId="9" borderId="35" xfId="2" applyFont="1" applyBorder="1"/>
    <xf numFmtId="0" fontId="23" fillId="0" borderId="0" xfId="0" quotePrefix="1" applyFont="1"/>
    <xf numFmtId="0" fontId="23" fillId="0" borderId="33" xfId="0" applyFont="1" applyBorder="1"/>
    <xf numFmtId="0" fontId="23" fillId="0" borderId="0" xfId="0" applyFont="1"/>
    <xf numFmtId="0" fontId="23" fillId="0" borderId="1" xfId="0" applyFont="1" applyBorder="1"/>
    <xf numFmtId="3" fontId="8" fillId="0" borderId="25" xfId="0" applyNumberFormat="1" applyFont="1" applyBorder="1" applyAlignment="1">
      <alignment horizontal="left" wrapText="1"/>
    </xf>
    <xf numFmtId="0" fontId="23" fillId="9" borderId="27" xfId="2" applyFont="1" applyBorder="1"/>
    <xf numFmtId="0" fontId="9" fillId="0" borderId="26" xfId="0" applyFont="1" applyBorder="1"/>
    <xf numFmtId="0" fontId="1" fillId="0" borderId="38" xfId="0" applyFont="1" applyBorder="1" applyAlignment="1">
      <alignment horizontal="center" wrapText="1"/>
    </xf>
    <xf numFmtId="0" fontId="23" fillId="0" borderId="8" xfId="0" quotePrefix="1" applyFont="1" applyBorder="1"/>
    <xf numFmtId="0" fontId="9" fillId="0" borderId="26" xfId="0" applyFont="1" applyBorder="1" applyAlignment="1">
      <alignment wrapText="1"/>
    </xf>
    <xf numFmtId="0" fontId="23" fillId="9" borderId="28" xfId="2" applyFont="1" applyBorder="1"/>
    <xf numFmtId="0" fontId="8" fillId="0" borderId="18" xfId="0" applyFont="1" applyBorder="1" applyAlignment="1">
      <alignment horizontal="right" wrapText="1"/>
    </xf>
    <xf numFmtId="164" fontId="8" fillId="4" borderId="11" xfId="0" applyNumberFormat="1" applyFont="1" applyFill="1" applyBorder="1" applyAlignment="1">
      <alignment horizontal="right" wrapText="1"/>
    </xf>
    <xf numFmtId="0" fontId="23" fillId="0" borderId="5" xfId="0" applyFont="1" applyBorder="1" applyAlignment="1">
      <alignment wrapText="1"/>
    </xf>
    <xf numFmtId="1" fontId="8" fillId="4" borderId="11" xfId="0" applyNumberFormat="1" applyFont="1" applyFill="1" applyBorder="1" applyAlignment="1">
      <alignment horizontal="right" wrapText="1"/>
    </xf>
    <xf numFmtId="0" fontId="8" fillId="0" borderId="1" xfId="0" applyFont="1" applyBorder="1" applyAlignment="1">
      <alignment horizontal="left" wrapText="1"/>
    </xf>
    <xf numFmtId="0" fontId="17" fillId="0" borderId="10" xfId="0" applyFont="1" applyBorder="1" applyAlignment="1">
      <alignment horizontal="left" wrapText="1"/>
    </xf>
    <xf numFmtId="0" fontId="26" fillId="0" borderId="0" xfId="0" applyFont="1" applyAlignment="1">
      <alignment wrapText="1"/>
    </xf>
    <xf numFmtId="0" fontId="9" fillId="0" borderId="39" xfId="0" applyFont="1" applyBorder="1" applyAlignment="1">
      <alignment wrapText="1"/>
    </xf>
    <xf numFmtId="4" fontId="10" fillId="3" borderId="11" xfId="0" applyNumberFormat="1" applyFont="1" applyFill="1" applyBorder="1" applyAlignment="1">
      <alignment horizontal="left" wrapText="1"/>
    </xf>
    <xf numFmtId="0" fontId="14" fillId="0" borderId="11" xfId="0" applyFont="1" applyBorder="1" applyAlignment="1">
      <alignment horizontal="center" wrapText="1"/>
    </xf>
    <xf numFmtId="0" fontId="28" fillId="0" borderId="11" xfId="0" applyFont="1" applyBorder="1" applyAlignment="1">
      <alignment horizontal="left" wrapText="1"/>
    </xf>
    <xf numFmtId="0" fontId="13" fillId="0" borderId="11" xfId="0" applyFont="1" applyBorder="1" applyAlignment="1">
      <alignment wrapText="1"/>
    </xf>
    <xf numFmtId="0" fontId="14" fillId="0" borderId="11" xfId="0" applyFont="1" applyBorder="1" applyAlignment="1">
      <alignment wrapText="1"/>
    </xf>
    <xf numFmtId="0" fontId="14" fillId="0" borderId="9" xfId="0" applyFont="1" applyBorder="1" applyAlignment="1">
      <alignment wrapText="1"/>
    </xf>
    <xf numFmtId="0" fontId="13" fillId="0" borderId="13" xfId="0" applyFont="1" applyBorder="1" applyAlignment="1">
      <alignment wrapText="1"/>
    </xf>
    <xf numFmtId="0" fontId="28" fillId="0" borderId="11" xfId="0" applyFont="1" applyBorder="1"/>
    <xf numFmtId="0" fontId="28" fillId="0" borderId="13" xfId="0" applyFont="1" applyBorder="1"/>
    <xf numFmtId="0" fontId="13" fillId="0" borderId="13" xfId="0" applyFont="1" applyBorder="1"/>
    <xf numFmtId="0" fontId="13" fillId="0" borderId="11" xfId="0" applyFont="1" applyBorder="1"/>
    <xf numFmtId="0" fontId="14" fillId="0" borderId="28" xfId="0" applyFont="1" applyBorder="1"/>
    <xf numFmtId="0" fontId="1" fillId="9" borderId="28" xfId="2" applyFont="1" applyBorder="1"/>
    <xf numFmtId="3" fontId="10" fillId="3" borderId="28" xfId="0" applyNumberFormat="1" applyFont="1" applyFill="1" applyBorder="1" applyAlignment="1">
      <alignment horizontal="left" wrapText="1"/>
    </xf>
    <xf numFmtId="0" fontId="23" fillId="0" borderId="36" xfId="0" applyFont="1" applyBorder="1" applyAlignment="1">
      <alignment wrapText="1"/>
    </xf>
    <xf numFmtId="0" fontId="25" fillId="0" borderId="13" xfId="0" applyFont="1" applyBorder="1" applyAlignment="1">
      <alignment horizontal="left" wrapText="1"/>
    </xf>
    <xf numFmtId="0" fontId="23" fillId="0" borderId="36" xfId="0" applyFont="1" applyBorder="1"/>
    <xf numFmtId="3" fontId="27" fillId="0" borderId="0" xfId="0" applyNumberFormat="1" applyFont="1" applyAlignment="1">
      <alignment wrapText="1"/>
    </xf>
    <xf numFmtId="164" fontId="17" fillId="0" borderId="0" xfId="0" applyNumberFormat="1" applyFont="1" applyAlignment="1">
      <alignment wrapText="1"/>
    </xf>
    <xf numFmtId="3" fontId="17" fillId="0" borderId="0" xfId="0" applyNumberFormat="1" applyFont="1" applyAlignment="1">
      <alignment wrapText="1"/>
    </xf>
    <xf numFmtId="3" fontId="9" fillId="0" borderId="0" xfId="0" applyNumberFormat="1" applyFont="1" applyAlignment="1">
      <alignment wrapText="1"/>
    </xf>
    <xf numFmtId="3" fontId="13" fillId="0" borderId="0" xfId="0" applyNumberFormat="1" applyFont="1" applyAlignment="1">
      <alignment horizontal="left" wrapText="1"/>
    </xf>
    <xf numFmtId="0" fontId="9" fillId="5" borderId="0" xfId="0" applyFont="1" applyFill="1" applyAlignment="1">
      <alignment wrapText="1"/>
    </xf>
    <xf numFmtId="0" fontId="1" fillId="0" borderId="8" xfId="0" applyFont="1" applyBorder="1" applyAlignment="1">
      <alignment horizontal="center" wrapText="1"/>
    </xf>
    <xf numFmtId="0" fontId="1" fillId="0" borderId="41" xfId="0" applyFont="1" applyBorder="1" applyAlignment="1">
      <alignment horizontal="center" wrapText="1"/>
    </xf>
    <xf numFmtId="0" fontId="13" fillId="3" borderId="0" xfId="0" quotePrefix="1" applyFont="1" applyFill="1" applyAlignment="1">
      <alignment horizontal="left"/>
    </xf>
    <xf numFmtId="0" fontId="1" fillId="0" borderId="0" xfId="0" quotePrefix="1" applyFont="1" applyAlignment="1">
      <alignment horizontal="left"/>
    </xf>
    <xf numFmtId="0" fontId="1" fillId="0" borderId="28" xfId="0" applyFont="1" applyBorder="1" applyAlignment="1">
      <alignment horizontal="left"/>
    </xf>
    <xf numFmtId="3" fontId="14" fillId="3" borderId="28" xfId="0" applyNumberFormat="1" applyFont="1" applyFill="1" applyBorder="1" applyAlignment="1">
      <alignment horizontal="left" wrapText="1"/>
    </xf>
    <xf numFmtId="0" fontId="23" fillId="0" borderId="8" xfId="0" quotePrefix="1" applyFont="1" applyBorder="1" applyAlignment="1">
      <alignment horizontal="left"/>
    </xf>
    <xf numFmtId="3" fontId="13" fillId="3" borderId="36" xfId="0" applyNumberFormat="1" applyFont="1" applyFill="1" applyBorder="1" applyAlignment="1">
      <alignment horizontal="left" wrapText="1"/>
    </xf>
    <xf numFmtId="0" fontId="23" fillId="0" borderId="0" xfId="0" quotePrefix="1" applyFont="1" applyAlignment="1">
      <alignment horizontal="left"/>
    </xf>
    <xf numFmtId="3" fontId="10" fillId="3" borderId="32" xfId="0" applyNumberFormat="1" applyFont="1" applyFill="1" applyBorder="1" applyAlignment="1">
      <alignment horizontal="left" wrapText="1"/>
    </xf>
    <xf numFmtId="0" fontId="23" fillId="0" borderId="0" xfId="0" applyFont="1" applyAlignment="1">
      <alignment horizontal="left"/>
    </xf>
    <xf numFmtId="3" fontId="13" fillId="3" borderId="25" xfId="0" applyNumberFormat="1" applyFont="1" applyFill="1" applyBorder="1" applyAlignment="1">
      <alignment horizontal="left" wrapText="1"/>
    </xf>
    <xf numFmtId="0" fontId="23" fillId="0" borderId="1" xfId="0" quotePrefix="1" applyFont="1" applyBorder="1" applyAlignment="1">
      <alignment horizontal="left"/>
    </xf>
    <xf numFmtId="3" fontId="13" fillId="3" borderId="35" xfId="0" applyNumberFormat="1" applyFont="1" applyFill="1" applyBorder="1" applyAlignment="1">
      <alignment horizontal="left" wrapText="1"/>
    </xf>
    <xf numFmtId="0" fontId="23" fillId="0" borderId="1" xfId="0" applyFont="1" applyBorder="1" applyAlignment="1">
      <alignment wrapText="1"/>
    </xf>
    <xf numFmtId="0" fontId="23" fillId="0" borderId="3" xfId="0" applyFont="1" applyBorder="1" applyAlignment="1">
      <alignment horizontal="center" wrapText="1"/>
    </xf>
    <xf numFmtId="0" fontId="23" fillId="0" borderId="34" xfId="0" applyFont="1" applyBorder="1" applyAlignment="1">
      <alignment wrapText="1"/>
    </xf>
    <xf numFmtId="0" fontId="23" fillId="0" borderId="2" xfId="0" applyFont="1" applyBorder="1" applyAlignment="1">
      <alignment wrapText="1"/>
    </xf>
    <xf numFmtId="0" fontId="23" fillId="0" borderId="22" xfId="0" applyFont="1" applyBorder="1" applyAlignment="1">
      <alignment wrapText="1"/>
    </xf>
    <xf numFmtId="0" fontId="23" fillId="0" borderId="4" xfId="0" applyFont="1" applyBorder="1" applyAlignment="1">
      <alignment wrapText="1"/>
    </xf>
    <xf numFmtId="0" fontId="0" fillId="0" borderId="42" xfId="0" applyBorder="1" applyAlignment="1">
      <alignment wrapText="1"/>
    </xf>
    <xf numFmtId="0" fontId="23" fillId="0" borderId="13" xfId="0" applyFont="1" applyBorder="1" applyAlignment="1">
      <alignment wrapText="1"/>
    </xf>
    <xf numFmtId="0" fontId="23" fillId="0" borderId="11" xfId="0" applyFont="1" applyBorder="1" applyAlignment="1">
      <alignment wrapText="1"/>
    </xf>
    <xf numFmtId="0" fontId="23" fillId="0" borderId="15" xfId="0" applyFont="1" applyBorder="1" applyAlignment="1">
      <alignment wrapText="1"/>
    </xf>
    <xf numFmtId="0" fontId="23" fillId="0" borderId="9" xfId="0" applyFont="1" applyBorder="1" applyAlignment="1">
      <alignment horizontal="center" wrapText="1"/>
    </xf>
    <xf numFmtId="2" fontId="23" fillId="6" borderId="15" xfId="1" applyNumberFormat="1" applyFont="1" applyFill="1" applyBorder="1" applyAlignment="1">
      <alignment wrapText="1"/>
    </xf>
    <xf numFmtId="0" fontId="23" fillId="0" borderId="46" xfId="0" applyFont="1" applyBorder="1" applyAlignment="1">
      <alignment wrapText="1"/>
    </xf>
    <xf numFmtId="0" fontId="23" fillId="0" borderId="43" xfId="0" applyFont="1" applyBorder="1" applyAlignment="1">
      <alignment wrapText="1"/>
    </xf>
    <xf numFmtId="0" fontId="23" fillId="0" borderId="11" xfId="0" applyFont="1" applyBorder="1" applyAlignment="1">
      <alignment horizontal="center" wrapText="1"/>
    </xf>
    <xf numFmtId="2" fontId="23" fillId="6" borderId="43" xfId="0" applyNumberFormat="1" applyFont="1" applyFill="1" applyBorder="1" applyAlignment="1">
      <alignment wrapText="1"/>
    </xf>
    <xf numFmtId="0" fontId="12" fillId="0" borderId="19" xfId="0" applyFont="1" applyBorder="1"/>
    <xf numFmtId="0" fontId="8" fillId="0" borderId="8" xfId="0" applyFont="1" applyBorder="1" applyAlignment="1">
      <alignment horizontal="right" wrapText="1"/>
    </xf>
    <xf numFmtId="164" fontId="23" fillId="6" borderId="6" xfId="0" applyNumberFormat="1" applyFont="1" applyFill="1" applyBorder="1" applyAlignment="1">
      <alignment wrapText="1"/>
    </xf>
    <xf numFmtId="164" fontId="23" fillId="6" borderId="43" xfId="0" applyNumberFormat="1" applyFont="1" applyFill="1" applyBorder="1" applyAlignment="1">
      <alignment wrapText="1"/>
    </xf>
    <xf numFmtId="0" fontId="23" fillId="0" borderId="45" xfId="0" applyFont="1" applyBorder="1" applyAlignment="1">
      <alignment wrapText="1"/>
    </xf>
    <xf numFmtId="0" fontId="29" fillId="0" borderId="0" xfId="0" applyFont="1" applyAlignment="1">
      <alignment horizontal="right" wrapText="1"/>
    </xf>
    <xf numFmtId="14" fontId="30" fillId="0" borderId="0" xfId="0" applyNumberFormat="1" applyFont="1"/>
    <xf numFmtId="49" fontId="1" fillId="3" borderId="50" xfId="0" applyNumberFormat="1" applyFont="1" applyFill="1" applyBorder="1"/>
    <xf numFmtId="0" fontId="12" fillId="0" borderId="7" xfId="0" applyFont="1" applyBorder="1" applyAlignment="1">
      <alignment horizontal="right" wrapText="1"/>
    </xf>
    <xf numFmtId="14" fontId="31" fillId="3" borderId="9" xfId="0" applyNumberFormat="1" applyFont="1" applyFill="1" applyBorder="1" applyAlignment="1">
      <alignment horizontal="right"/>
    </xf>
    <xf numFmtId="0" fontId="12" fillId="0" borderId="12" xfId="0" applyFont="1" applyBorder="1" applyAlignment="1">
      <alignment horizontal="right" wrapText="1"/>
    </xf>
    <xf numFmtId="0" fontId="31" fillId="3" borderId="13" xfId="0" applyFont="1" applyFill="1" applyBorder="1" applyAlignment="1">
      <alignment horizontal="right"/>
    </xf>
    <xf numFmtId="0" fontId="8" fillId="0" borderId="10" xfId="0" applyFont="1" applyBorder="1" applyAlignment="1">
      <alignment wrapText="1"/>
    </xf>
    <xf numFmtId="0" fontId="23" fillId="0" borderId="10" xfId="0" applyFont="1" applyBorder="1" applyAlignment="1">
      <alignment wrapText="1"/>
    </xf>
    <xf numFmtId="3" fontId="10" fillId="3" borderId="0" xfId="0" applyNumberFormat="1" applyFont="1" applyFill="1" applyAlignment="1">
      <alignment horizontal="left" wrapText="1"/>
    </xf>
    <xf numFmtId="0" fontId="23" fillId="0" borderId="0" xfId="0" applyFont="1" applyAlignment="1">
      <alignment horizontal="left" wrapText="1"/>
    </xf>
    <xf numFmtId="3" fontId="9" fillId="0" borderId="0" xfId="0" applyNumberFormat="1" applyFont="1" applyAlignment="1">
      <alignment horizontal="left" wrapText="1"/>
    </xf>
    <xf numFmtId="0" fontId="9" fillId="0" borderId="36" xfId="0" applyFont="1" applyBorder="1"/>
    <xf numFmtId="0" fontId="1" fillId="7" borderId="4" xfId="0" applyFont="1" applyFill="1" applyBorder="1"/>
    <xf numFmtId="0" fontId="1" fillId="7" borderId="6" xfId="0" applyFont="1" applyFill="1" applyBorder="1"/>
    <xf numFmtId="0" fontId="23" fillId="9" borderId="25" xfId="2" applyFont="1" applyBorder="1"/>
    <xf numFmtId="0" fontId="8" fillId="0" borderId="12" xfId="0" applyFont="1" applyBorder="1" applyAlignment="1">
      <alignment wrapText="1"/>
    </xf>
    <xf numFmtId="0" fontId="23" fillId="9" borderId="35" xfId="2" applyFont="1" applyBorder="1" applyAlignment="1">
      <alignment wrapText="1"/>
    </xf>
    <xf numFmtId="0" fontId="25" fillId="0" borderId="11" xfId="0" applyFont="1" applyBorder="1"/>
    <xf numFmtId="0" fontId="8" fillId="0" borderId="0" xfId="0" applyFont="1" applyAlignment="1">
      <alignment horizontal="center" wrapText="1"/>
    </xf>
    <xf numFmtId="0" fontId="8" fillId="0" borderId="17" xfId="0" applyFont="1" applyBorder="1" applyAlignment="1">
      <alignment horizontal="center" wrapText="1"/>
    </xf>
    <xf numFmtId="3" fontId="8" fillId="4" borderId="13" xfId="0" applyNumberFormat="1" applyFont="1" applyFill="1" applyBorder="1" applyAlignment="1">
      <alignment wrapText="1"/>
    </xf>
    <xf numFmtId="0" fontId="8" fillId="0" borderId="40" xfId="0" applyFont="1" applyBorder="1" applyAlignment="1">
      <alignment wrapText="1"/>
    </xf>
    <xf numFmtId="0" fontId="8" fillId="0" borderId="2" xfId="0" applyFont="1" applyBorder="1" applyAlignment="1">
      <alignment wrapText="1"/>
    </xf>
    <xf numFmtId="0" fontId="8" fillId="0" borderId="9" xfId="0" applyFont="1" applyBorder="1" applyAlignment="1">
      <alignment wrapText="1"/>
    </xf>
    <xf numFmtId="0" fontId="32" fillId="0" borderId="34" xfId="0" applyFont="1" applyBorder="1" applyAlignment="1">
      <alignment wrapText="1"/>
    </xf>
    <xf numFmtId="0" fontId="23" fillId="0" borderId="1" xfId="0" applyFont="1" applyBorder="1" applyAlignment="1">
      <alignment horizontal="center" wrapText="1"/>
    </xf>
    <xf numFmtId="0" fontId="23" fillId="0" borderId="13" xfId="0" applyFont="1" applyBorder="1" applyAlignment="1">
      <alignment horizontal="center" wrapText="1"/>
    </xf>
    <xf numFmtId="0" fontId="23" fillId="0" borderId="40" xfId="0" applyFont="1" applyBorder="1" applyAlignment="1">
      <alignment horizontal="center" wrapText="1"/>
    </xf>
    <xf numFmtId="2" fontId="23" fillId="6" borderId="13" xfId="0" applyNumberFormat="1" applyFont="1" applyFill="1" applyBorder="1" applyAlignment="1">
      <alignment wrapText="1"/>
    </xf>
    <xf numFmtId="2" fontId="23" fillId="6" borderId="40" xfId="0" applyNumberFormat="1" applyFont="1" applyFill="1" applyBorder="1" applyAlignment="1">
      <alignment wrapText="1"/>
    </xf>
    <xf numFmtId="2" fontId="23" fillId="6" borderId="11" xfId="0" applyNumberFormat="1" applyFont="1" applyFill="1" applyBorder="1" applyAlignment="1">
      <alignment horizontal="right" wrapText="1"/>
    </xf>
    <xf numFmtId="2" fontId="23" fillId="6" borderId="3" xfId="0" applyNumberFormat="1" applyFont="1" applyFill="1" applyBorder="1" applyAlignment="1">
      <alignment horizontal="right" wrapText="1"/>
    </xf>
    <xf numFmtId="2" fontId="23" fillId="6" borderId="13" xfId="0" applyNumberFormat="1" applyFont="1" applyFill="1" applyBorder="1" applyAlignment="1">
      <alignment horizontal="right" wrapText="1"/>
    </xf>
    <xf numFmtId="2" fontId="23" fillId="6" borderId="40" xfId="0" applyNumberFormat="1" applyFont="1" applyFill="1" applyBorder="1" applyAlignment="1">
      <alignment horizontal="right" wrapText="1"/>
    </xf>
    <xf numFmtId="0" fontId="23" fillId="0" borderId="34" xfId="0" applyFont="1" applyBorder="1" applyAlignment="1">
      <alignment horizontal="left" wrapText="1"/>
    </xf>
    <xf numFmtId="2" fontId="23" fillId="6" borderId="13" xfId="1" applyNumberFormat="1" applyFont="1" applyFill="1" applyBorder="1" applyAlignment="1">
      <alignment horizontal="right" wrapText="1"/>
    </xf>
    <xf numFmtId="2" fontId="23" fillId="6" borderId="40" xfId="1" applyNumberFormat="1" applyFont="1" applyFill="1" applyBorder="1" applyAlignment="1">
      <alignment horizontal="right" wrapText="1"/>
    </xf>
    <xf numFmtId="0" fontId="23" fillId="0" borderId="18" xfId="0" applyFont="1" applyBorder="1" applyAlignment="1">
      <alignment horizontal="center" wrapText="1"/>
    </xf>
    <xf numFmtId="2" fontId="23" fillId="6" borderId="23" xfId="1" applyNumberFormat="1" applyFont="1" applyFill="1" applyBorder="1" applyAlignment="1">
      <alignment wrapText="1"/>
    </xf>
    <xf numFmtId="2" fontId="23" fillId="6" borderId="11" xfId="1" applyNumberFormat="1" applyFont="1" applyFill="1" applyBorder="1" applyAlignment="1">
      <alignment wrapText="1"/>
    </xf>
    <xf numFmtId="2" fontId="23" fillId="6" borderId="3" xfId="1" applyNumberFormat="1" applyFont="1" applyFill="1" applyBorder="1" applyAlignment="1">
      <alignment wrapText="1"/>
    </xf>
    <xf numFmtId="0" fontId="8" fillId="0" borderId="43" xfId="0" quotePrefix="1" applyFont="1" applyBorder="1" applyAlignment="1">
      <alignment wrapText="1"/>
    </xf>
    <xf numFmtId="0" fontId="23" fillId="0" borderId="5" xfId="0" applyFont="1" applyBorder="1" applyAlignment="1">
      <alignment horizontal="center" wrapText="1"/>
    </xf>
    <xf numFmtId="166" fontId="23" fillId="6" borderId="43" xfId="1" applyNumberFormat="1" applyFont="1" applyFill="1" applyBorder="1" applyAlignment="1">
      <alignment wrapText="1"/>
    </xf>
    <xf numFmtId="166" fontId="23" fillId="6" borderId="6" xfId="1" applyNumberFormat="1" applyFont="1" applyFill="1" applyBorder="1" applyAlignment="1">
      <alignment wrapText="1"/>
    </xf>
    <xf numFmtId="0" fontId="33" fillId="0" borderId="0" xfId="0" applyFont="1" applyAlignment="1">
      <alignment horizontal="left"/>
    </xf>
    <xf numFmtId="0" fontId="25" fillId="0" borderId="0" xfId="0" applyFont="1" applyAlignment="1">
      <alignment wrapText="1"/>
    </xf>
    <xf numFmtId="0" fontId="23" fillId="0" borderId="17" xfId="0" applyFont="1" applyBorder="1" applyAlignment="1">
      <alignment horizontal="center" wrapText="1"/>
    </xf>
    <xf numFmtId="0" fontId="23" fillId="0" borderId="18" xfId="0" applyFont="1" applyBorder="1" applyAlignment="1">
      <alignment wrapText="1"/>
    </xf>
    <xf numFmtId="0" fontId="8" fillId="0" borderId="0" xfId="0" applyFont="1"/>
    <xf numFmtId="0" fontId="8" fillId="0" borderId="18" xfId="0" applyFont="1" applyBorder="1" applyAlignment="1">
      <alignment wrapText="1"/>
    </xf>
    <xf numFmtId="0" fontId="8" fillId="0" borderId="7" xfId="0" applyFont="1" applyBorder="1" applyAlignment="1">
      <alignment wrapText="1"/>
    </xf>
    <xf numFmtId="0" fontId="8" fillId="0" borderId="1" xfId="0" applyFont="1" applyBorder="1" applyAlignment="1">
      <alignment horizontal="center" wrapText="1"/>
    </xf>
    <xf numFmtId="165" fontId="8" fillId="4" borderId="11" xfId="0" applyNumberFormat="1" applyFont="1" applyFill="1" applyBorder="1" applyAlignment="1">
      <alignment wrapText="1"/>
    </xf>
    <xf numFmtId="0" fontId="33" fillId="0" borderId="19" xfId="0" applyFont="1" applyBorder="1"/>
    <xf numFmtId="0" fontId="8" fillId="0" borderId="20" xfId="0" applyFont="1" applyBorder="1" applyAlignment="1">
      <alignment wrapText="1"/>
    </xf>
    <xf numFmtId="0" fontId="8" fillId="0" borderId="42" xfId="0" applyFont="1" applyBorder="1" applyAlignment="1">
      <alignment wrapText="1"/>
    </xf>
    <xf numFmtId="0" fontId="8" fillId="0" borderId="11" xfId="0" applyFont="1" applyBorder="1" applyAlignment="1">
      <alignment wrapText="1"/>
    </xf>
    <xf numFmtId="0" fontId="32" fillId="0" borderId="47" xfId="0" applyFont="1" applyBorder="1" applyAlignment="1">
      <alignment wrapText="1"/>
    </xf>
    <xf numFmtId="0" fontId="23" fillId="0" borderId="48" xfId="0" applyFont="1" applyBorder="1" applyAlignment="1">
      <alignment wrapText="1"/>
    </xf>
    <xf numFmtId="2" fontId="23" fillId="6" borderId="15" xfId="0" applyNumberFormat="1" applyFont="1" applyFill="1" applyBorder="1" applyAlignment="1">
      <alignment wrapText="1"/>
    </xf>
    <xf numFmtId="2" fontId="23" fillId="6" borderId="23" xfId="0" applyNumberFormat="1" applyFont="1" applyFill="1" applyBorder="1" applyAlignment="1">
      <alignment horizontal="right" wrapText="1"/>
    </xf>
    <xf numFmtId="2" fontId="23" fillId="6" borderId="11" xfId="0" applyNumberFormat="1" applyFont="1" applyFill="1" applyBorder="1" applyAlignment="1">
      <alignment wrapText="1"/>
    </xf>
    <xf numFmtId="0" fontId="8" fillId="0" borderId="3" xfId="0" applyFont="1" applyBorder="1" applyAlignment="1">
      <alignment wrapText="1"/>
    </xf>
    <xf numFmtId="0" fontId="23" fillId="0" borderId="47" xfId="0" applyFont="1" applyBorder="1" applyAlignment="1">
      <alignment wrapText="1"/>
    </xf>
    <xf numFmtId="2" fontId="23" fillId="6" borderId="3" xfId="0" applyNumberFormat="1" applyFont="1" applyFill="1" applyBorder="1" applyAlignment="1">
      <alignment wrapText="1"/>
    </xf>
    <xf numFmtId="0" fontId="8" fillId="0" borderId="23" xfId="0" applyFont="1" applyBorder="1" applyAlignment="1">
      <alignment wrapText="1"/>
    </xf>
    <xf numFmtId="0" fontId="23" fillId="0" borderId="47" xfId="0" applyFont="1" applyBorder="1" applyAlignment="1">
      <alignment horizontal="left" wrapText="1"/>
    </xf>
    <xf numFmtId="0" fontId="8" fillId="0" borderId="5" xfId="0" applyFont="1" applyBorder="1" applyAlignment="1">
      <alignment wrapText="1"/>
    </xf>
    <xf numFmtId="0" fontId="8" fillId="0" borderId="6" xfId="0" applyFont="1" applyBorder="1" applyAlignment="1">
      <alignment wrapText="1"/>
    </xf>
    <xf numFmtId="0" fontId="8" fillId="0" borderId="20" xfId="0" applyFont="1" applyBorder="1" applyAlignment="1">
      <alignment vertical="center"/>
    </xf>
    <xf numFmtId="0" fontId="32" fillId="0" borderId="34" xfId="0" applyFont="1" applyBorder="1"/>
    <xf numFmtId="2" fontId="23" fillId="6" borderId="6" xfId="0" applyNumberFormat="1" applyFont="1" applyFill="1" applyBorder="1" applyAlignment="1">
      <alignment wrapText="1"/>
    </xf>
    <xf numFmtId="165" fontId="13" fillId="3" borderId="11" xfId="0" applyNumberFormat="1" applyFont="1" applyFill="1" applyBorder="1" applyAlignment="1">
      <alignment horizontal="left" wrapText="1"/>
    </xf>
    <xf numFmtId="0" fontId="8" fillId="0" borderId="8" xfId="0" applyFont="1" applyBorder="1" applyAlignment="1">
      <alignment horizontal="center" wrapText="1"/>
    </xf>
    <xf numFmtId="0" fontId="23" fillId="0" borderId="7" xfId="0" applyFont="1" applyBorder="1" applyAlignment="1">
      <alignment horizontal="center" wrapText="1"/>
    </xf>
    <xf numFmtId="0" fontId="23" fillId="0" borderId="8" xfId="0" applyFont="1" applyBorder="1" applyAlignment="1">
      <alignment wrapText="1"/>
    </xf>
    <xf numFmtId="0" fontId="23" fillId="0" borderId="12" xfId="0" applyFont="1" applyBorder="1" applyAlignment="1">
      <alignment horizontal="center" wrapText="1"/>
    </xf>
    <xf numFmtId="0" fontId="8" fillId="0" borderId="18" xfId="0" applyFont="1" applyBorder="1" applyAlignment="1">
      <alignment horizontal="left" wrapText="1"/>
    </xf>
    <xf numFmtId="3" fontId="8" fillId="4" borderId="15" xfId="0" applyNumberFormat="1" applyFont="1" applyFill="1" applyBorder="1" applyAlignment="1">
      <alignment wrapText="1"/>
    </xf>
    <xf numFmtId="9" fontId="8" fillId="0" borderId="0" xfId="1" applyFont="1" applyAlignment="1">
      <alignment wrapText="1"/>
    </xf>
    <xf numFmtId="0" fontId="23" fillId="0" borderId="15" xfId="0" applyFont="1" applyBorder="1" applyAlignment="1">
      <alignment horizontal="center" wrapText="1"/>
    </xf>
    <xf numFmtId="0" fontId="8" fillId="0" borderId="10" xfId="0" applyFont="1" applyBorder="1" applyAlignment="1">
      <alignment horizontal="center" vertical="center" wrapText="1"/>
    </xf>
    <xf numFmtId="0" fontId="8" fillId="0" borderId="49" xfId="0" applyFont="1" applyBorder="1" applyAlignment="1">
      <alignment wrapText="1"/>
    </xf>
    <xf numFmtId="164" fontId="23" fillId="6" borderId="13" xfId="0" applyNumberFormat="1" applyFont="1" applyFill="1" applyBorder="1" applyAlignment="1">
      <alignment wrapText="1"/>
    </xf>
    <xf numFmtId="164" fontId="23" fillId="6" borderId="40" xfId="0" applyNumberFormat="1" applyFont="1" applyFill="1" applyBorder="1" applyAlignment="1">
      <alignment wrapText="1"/>
    </xf>
    <xf numFmtId="164" fontId="23" fillId="6" borderId="11" xfId="0" applyNumberFormat="1" applyFont="1" applyFill="1" applyBorder="1" applyAlignment="1">
      <alignment wrapText="1"/>
    </xf>
    <xf numFmtId="164" fontId="23" fillId="6" borderId="3" xfId="0" applyNumberFormat="1" applyFont="1" applyFill="1" applyBorder="1" applyAlignment="1">
      <alignment wrapText="1"/>
    </xf>
    <xf numFmtId="165" fontId="8" fillId="4" borderId="13" xfId="0" applyNumberFormat="1" applyFont="1" applyFill="1" applyBorder="1" applyAlignment="1">
      <alignment wrapText="1"/>
    </xf>
    <xf numFmtId="0" fontId="23" fillId="0" borderId="7" xfId="0" applyFont="1" applyBorder="1" applyAlignment="1">
      <alignment wrapText="1"/>
    </xf>
    <xf numFmtId="165" fontId="8" fillId="4" borderId="15" xfId="0" applyNumberFormat="1" applyFont="1" applyFill="1" applyBorder="1" applyAlignment="1">
      <alignment wrapText="1"/>
    </xf>
    <xf numFmtId="0" fontId="8" fillId="0" borderId="8" xfId="0" applyFont="1" applyBorder="1" applyAlignment="1">
      <alignment horizontal="left" wrapText="1"/>
    </xf>
    <xf numFmtId="164" fontId="8" fillId="4" borderId="9" xfId="0" applyNumberFormat="1" applyFont="1" applyFill="1" applyBorder="1" applyAlignment="1">
      <alignment horizontal="right" wrapText="1"/>
    </xf>
    <xf numFmtId="165" fontId="8" fillId="4" borderId="11" xfId="0" applyNumberFormat="1" applyFont="1" applyFill="1" applyBorder="1" applyAlignment="1">
      <alignment horizontal="right" wrapText="1"/>
    </xf>
    <xf numFmtId="165" fontId="8" fillId="4" borderId="13" xfId="0" applyNumberFormat="1" applyFont="1" applyFill="1" applyBorder="1" applyAlignment="1">
      <alignment horizontal="right" wrapText="1"/>
    </xf>
    <xf numFmtId="4" fontId="8" fillId="4" borderId="13" xfId="0" applyNumberFormat="1" applyFont="1" applyFill="1" applyBorder="1" applyAlignment="1">
      <alignment horizontal="right" wrapText="1"/>
    </xf>
    <xf numFmtId="0" fontId="1" fillId="5" borderId="0" xfId="0" applyFont="1" applyFill="1"/>
    <xf numFmtId="0" fontId="5" fillId="5" borderId="0" xfId="0" applyFont="1" applyFill="1" applyAlignment="1">
      <alignment wrapText="1"/>
    </xf>
    <xf numFmtId="0" fontId="12" fillId="0" borderId="17" xfId="0" applyFont="1" applyBorder="1" applyAlignment="1">
      <alignment horizontal="right" wrapText="1"/>
    </xf>
    <xf numFmtId="14" fontId="33" fillId="0" borderId="15" xfId="0" applyNumberFormat="1" applyFont="1" applyBorder="1"/>
    <xf numFmtId="0" fontId="23" fillId="0" borderId="34" xfId="0" applyFont="1" applyBorder="1"/>
    <xf numFmtId="0" fontId="23" fillId="0" borderId="2" xfId="0" applyFont="1" applyBorder="1"/>
    <xf numFmtId="0" fontId="0" fillId="3" borderId="7" xfId="0" applyFill="1" applyBorder="1" applyAlignment="1">
      <alignment horizontal="left" wrapText="1"/>
    </xf>
    <xf numFmtId="0" fontId="0" fillId="3" borderId="8" xfId="0" applyFill="1" applyBorder="1" applyAlignment="1">
      <alignment horizontal="left" wrapText="1"/>
    </xf>
    <xf numFmtId="0" fontId="0" fillId="3" borderId="9" xfId="0" applyFill="1" applyBorder="1" applyAlignment="1">
      <alignment horizontal="left" wrapText="1"/>
    </xf>
    <xf numFmtId="0" fontId="0" fillId="3" borderId="10" xfId="0" applyFill="1" applyBorder="1" applyAlignment="1">
      <alignment horizontal="left" wrapText="1"/>
    </xf>
    <xf numFmtId="0" fontId="0" fillId="3" borderId="0" xfId="0" applyFill="1" applyAlignment="1">
      <alignment horizontal="left" wrapText="1"/>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 xfId="0" applyFill="1" applyBorder="1" applyAlignment="1">
      <alignment horizontal="left" wrapText="1"/>
    </xf>
    <xf numFmtId="0" fontId="0" fillId="3" borderId="13" xfId="0" applyFill="1" applyBorder="1" applyAlignment="1">
      <alignment horizontal="left" wrapText="1"/>
    </xf>
    <xf numFmtId="0" fontId="21" fillId="0" borderId="17" xfId="0" applyFont="1" applyBorder="1" applyAlignment="1">
      <alignment wrapText="1"/>
    </xf>
    <xf numFmtId="0" fontId="0" fillId="0" borderId="18" xfId="0" applyBorder="1" applyAlignment="1">
      <alignment wrapText="1"/>
    </xf>
    <xf numFmtId="0" fontId="0" fillId="0" borderId="15" xfId="0" applyBorder="1" applyAlignment="1">
      <alignment wrapText="1"/>
    </xf>
    <xf numFmtId="0" fontId="21" fillId="0" borderId="17" xfId="0" applyFont="1" applyBorder="1" applyAlignment="1">
      <alignment horizontal="left" wrapText="1"/>
    </xf>
    <xf numFmtId="0" fontId="21" fillId="0" borderId="18" xfId="0" applyFont="1" applyBorder="1" applyAlignment="1">
      <alignment horizontal="left" wrapText="1"/>
    </xf>
    <xf numFmtId="0" fontId="21" fillId="0" borderId="15" xfId="0" applyFont="1" applyBorder="1" applyAlignment="1">
      <alignment horizontal="left"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5" xfId="0" applyBorder="1" applyAlignment="1">
      <alignment horizontal="left" vertical="top" wrapText="1"/>
    </xf>
    <xf numFmtId="0" fontId="9" fillId="0" borderId="0" xfId="0" applyFont="1" applyAlignment="1">
      <alignment wrapText="1"/>
    </xf>
    <xf numFmtId="0" fontId="0" fillId="0" borderId="0" xfId="0" applyAlignment="1">
      <alignment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xf numFmtId="0" fontId="3" fillId="3" borderId="9"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3" borderId="0" xfId="0" applyFont="1" applyFill="1" applyAlignment="1">
      <alignment horizontal="center" vertical="top" wrapText="1"/>
    </xf>
    <xf numFmtId="0" fontId="3" fillId="3" borderId="11" xfId="0" applyFont="1" applyFill="1" applyBorder="1" applyAlignment="1">
      <alignment horizontal="center" vertical="top" wrapText="1"/>
    </xf>
    <xf numFmtId="0" fontId="3" fillId="3" borderId="12"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3" borderId="13" xfId="0" applyFont="1" applyFill="1" applyBorder="1" applyAlignment="1">
      <alignment horizontal="center" vertical="top" wrapText="1"/>
    </xf>
    <xf numFmtId="0" fontId="32" fillId="0" borderId="37" xfId="0" applyFont="1" applyBorder="1" applyAlignment="1">
      <alignment horizontal="left" wrapText="1"/>
    </xf>
    <xf numFmtId="0" fontId="32" fillId="0" borderId="8" xfId="0" applyFont="1" applyBorder="1" applyAlignment="1">
      <alignment horizontal="left" wrapText="1"/>
    </xf>
    <xf numFmtId="0" fontId="32" fillId="0" borderId="44" xfId="0" applyFont="1" applyBorder="1" applyAlignment="1">
      <alignment horizontal="left" wrapText="1"/>
    </xf>
    <xf numFmtId="0" fontId="32" fillId="0" borderId="34" xfId="0" applyFont="1" applyBorder="1" applyAlignment="1">
      <alignment wrapText="1"/>
    </xf>
    <xf numFmtId="0" fontId="8" fillId="0" borderId="1" xfId="0" applyFont="1" applyBorder="1" applyAlignment="1">
      <alignment wrapText="1"/>
    </xf>
    <xf numFmtId="0" fontId="8" fillId="0" borderId="40" xfId="0" applyFont="1" applyBorder="1" applyAlignment="1">
      <alignment wrapText="1"/>
    </xf>
    <xf numFmtId="0" fontId="1" fillId="0" borderId="37" xfId="0" applyFont="1" applyBorder="1" applyAlignment="1">
      <alignment wrapText="1"/>
    </xf>
    <xf numFmtId="0" fontId="0" fillId="0" borderId="8" xfId="0" applyBorder="1" applyAlignment="1">
      <alignment wrapText="1"/>
    </xf>
    <xf numFmtId="0" fontId="0" fillId="0" borderId="44" xfId="0" applyBorder="1" applyAlignment="1">
      <alignment wrapText="1"/>
    </xf>
    <xf numFmtId="0" fontId="23" fillId="0" borderId="34" xfId="0" applyFont="1" applyBorder="1" applyAlignment="1">
      <alignment wrapText="1"/>
    </xf>
    <xf numFmtId="164" fontId="23" fillId="6" borderId="13" xfId="0" applyNumberFormat="1" applyFont="1" applyFill="1" applyBorder="1" applyAlignment="1">
      <alignment horizontal="right" wrapText="1"/>
    </xf>
    <xf numFmtId="164" fontId="23" fillId="6" borderId="40" xfId="0" applyNumberFormat="1" applyFont="1" applyFill="1" applyBorder="1" applyAlignment="1">
      <alignment horizontal="right" wrapText="1"/>
    </xf>
    <xf numFmtId="4" fontId="23" fillId="6" borderId="11" xfId="0" applyNumberFormat="1" applyFont="1" applyFill="1" applyBorder="1" applyAlignment="1">
      <alignment horizontal="right" wrapText="1"/>
    </xf>
    <xf numFmtId="2" fontId="23" fillId="6" borderId="43" xfId="0" applyNumberFormat="1" applyFont="1" applyFill="1" applyBorder="1" applyAlignment="1">
      <alignment horizontal="right" wrapText="1"/>
    </xf>
  </cellXfs>
  <cellStyles count="3">
    <cellStyle name="60 % - Dekorfärg3" xfId="2" builtinId="40"/>
    <cellStyle name="Normal" xfId="0" builtinId="0"/>
    <cellStyle name="Procent" xfId="1" builtinId="5"/>
  </cellStyles>
  <dxfs count="0"/>
  <tableStyles count="0" defaultTableStyle="TableStyleMedium2" defaultPivotStyle="PivotStyleLight16"/>
  <colors>
    <mruColors>
      <color rgb="FF4B87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2C9F2-B6DF-4C83-B4E0-E061FDD72772}">
  <dimension ref="A1:P278"/>
  <sheetViews>
    <sheetView tabSelected="1" topLeftCell="A194" zoomScale="90" zoomScaleNormal="90" workbookViewId="0">
      <selection activeCell="D202" sqref="D202"/>
    </sheetView>
  </sheetViews>
  <sheetFormatPr defaultColWidth="8.85546875" defaultRowHeight="15" x14ac:dyDescent="0.25"/>
  <cols>
    <col min="1" max="1" width="13.28515625" style="2" customWidth="1"/>
    <col min="2" max="2" width="19.85546875" style="2" bestFit="1" customWidth="1"/>
    <col min="3" max="3" width="84.85546875" style="2" customWidth="1"/>
    <col min="4" max="4" width="18.28515625" style="2" customWidth="1"/>
    <col min="5" max="5" width="4.140625" style="2" customWidth="1"/>
    <col min="6" max="6" width="17.42578125" style="2" customWidth="1"/>
    <col min="7" max="7" width="18.85546875" style="2" customWidth="1"/>
    <col min="8" max="8" width="75.140625" style="2" customWidth="1"/>
    <col min="9" max="9" width="13.7109375" style="2" customWidth="1"/>
    <col min="10" max="10" width="2.85546875" style="2" customWidth="1"/>
    <col min="11" max="11" width="45.85546875" style="2" customWidth="1"/>
    <col min="12" max="12" width="15.85546875" style="2" bestFit="1" customWidth="1"/>
    <col min="13" max="13" width="17.42578125" style="2" customWidth="1"/>
    <col min="14" max="14" width="13.42578125" style="2" bestFit="1" customWidth="1"/>
    <col min="15" max="15" width="12.85546875" style="2" customWidth="1"/>
    <col min="16" max="18" width="8.85546875" style="2"/>
    <col min="19" max="19" width="8.85546875" style="2" customWidth="1"/>
    <col min="20" max="16384" width="8.85546875" style="2"/>
  </cols>
  <sheetData>
    <row r="1" spans="1:9" ht="21" x14ac:dyDescent="0.35">
      <c r="A1" s="26"/>
      <c r="C1" s="328" t="s">
        <v>895</v>
      </c>
      <c r="D1" s="329">
        <v>45846</v>
      </c>
    </row>
    <row r="2" spans="1:9" ht="23.25" x14ac:dyDescent="0.35">
      <c r="A2" s="26"/>
      <c r="C2" s="229"/>
      <c r="D2" s="230"/>
    </row>
    <row r="3" spans="1:9" ht="24" x14ac:dyDescent="0.4">
      <c r="A3" s="1" t="s">
        <v>900</v>
      </c>
      <c r="C3" s="8"/>
    </row>
    <row r="4" spans="1:9" ht="24" x14ac:dyDescent="0.4">
      <c r="A4" s="1" t="s">
        <v>899</v>
      </c>
      <c r="C4" s="8"/>
    </row>
    <row r="5" spans="1:9" ht="21.75" thickBot="1" x14ac:dyDescent="0.4">
      <c r="D5" s="140"/>
    </row>
    <row r="6" spans="1:9" ht="21.75" thickBot="1" x14ac:dyDescent="0.4">
      <c r="A6" s="71" t="s">
        <v>2</v>
      </c>
      <c r="B6" s="72"/>
      <c r="C6" s="73" t="s">
        <v>627</v>
      </c>
      <c r="G6" s="231" t="s">
        <v>0</v>
      </c>
      <c r="H6" s="118"/>
    </row>
    <row r="7" spans="1:9" ht="21.75" thickBot="1" x14ac:dyDescent="0.4">
      <c r="A7" s="100" t="s">
        <v>4</v>
      </c>
      <c r="B7" s="101"/>
      <c r="C7" s="102" t="s">
        <v>5</v>
      </c>
      <c r="G7" s="119" t="s">
        <v>1</v>
      </c>
      <c r="H7" s="120"/>
    </row>
    <row r="8" spans="1:9" x14ac:dyDescent="0.25">
      <c r="G8" s="121" t="s">
        <v>3</v>
      </c>
      <c r="H8" s="122"/>
      <c r="I8" s="9"/>
    </row>
    <row r="9" spans="1:9" ht="21" x14ac:dyDescent="0.35">
      <c r="C9" s="232" t="s">
        <v>896</v>
      </c>
      <c r="D9" s="233" t="s">
        <v>907</v>
      </c>
      <c r="G9" s="123" t="s">
        <v>6</v>
      </c>
      <c r="H9" s="124"/>
      <c r="I9" s="9"/>
    </row>
    <row r="10" spans="1:9" ht="21.75" thickBot="1" x14ac:dyDescent="0.4">
      <c r="C10" s="234" t="s">
        <v>897</v>
      </c>
      <c r="D10" s="235" t="s">
        <v>908</v>
      </c>
      <c r="G10" s="242" t="s">
        <v>7</v>
      </c>
      <c r="H10" s="243"/>
      <c r="I10" s="9"/>
    </row>
    <row r="11" spans="1:9" ht="28.5" customHeight="1" x14ac:dyDescent="0.25">
      <c r="A11" s="350" t="s">
        <v>898</v>
      </c>
      <c r="B11" s="351"/>
      <c r="C11" s="351"/>
      <c r="D11" s="351"/>
      <c r="E11" s="351"/>
      <c r="F11" s="351"/>
      <c r="G11" s="99"/>
      <c r="H11" s="99"/>
      <c r="I11" s="9"/>
    </row>
    <row r="12" spans="1:9" x14ac:dyDescent="0.25">
      <c r="G12" s="99"/>
      <c r="H12" s="99"/>
      <c r="I12" s="9"/>
    </row>
    <row r="13" spans="1:9" ht="21" x14ac:dyDescent="0.35">
      <c r="A13" s="5" t="s">
        <v>8</v>
      </c>
      <c r="C13" s="4"/>
      <c r="G13" s="86"/>
    </row>
    <row r="14" spans="1:9" x14ac:dyDescent="0.25">
      <c r="A14" s="24" t="s">
        <v>9</v>
      </c>
      <c r="B14" s="25"/>
      <c r="C14" s="25" t="s">
        <v>10</v>
      </c>
      <c r="D14" s="194"/>
      <c r="E14" s="194"/>
      <c r="F14" s="194" t="s">
        <v>11</v>
      </c>
      <c r="G14" s="194" t="s">
        <v>683</v>
      </c>
      <c r="H14" s="59" t="s">
        <v>12</v>
      </c>
    </row>
    <row r="15" spans="1:9" ht="30" x14ac:dyDescent="0.25">
      <c r="A15" s="236" t="s">
        <v>684</v>
      </c>
      <c r="B15" s="23" t="s">
        <v>681</v>
      </c>
      <c r="C15" s="23" t="s">
        <v>700</v>
      </c>
      <c r="D15" s="114" t="s">
        <v>753</v>
      </c>
      <c r="E15" s="195"/>
      <c r="F15" s="196">
        <v>65</v>
      </c>
      <c r="G15" s="244" t="s">
        <v>752</v>
      </c>
      <c r="H15" s="149" t="s">
        <v>775</v>
      </c>
    </row>
    <row r="16" spans="1:9" ht="30" x14ac:dyDescent="0.25">
      <c r="A16" s="236" t="s">
        <v>684</v>
      </c>
      <c r="B16" s="23" t="s">
        <v>681</v>
      </c>
      <c r="C16" s="23" t="s">
        <v>700</v>
      </c>
      <c r="D16" s="114" t="s">
        <v>754</v>
      </c>
      <c r="E16" s="76"/>
      <c r="F16" s="196">
        <v>20</v>
      </c>
      <c r="G16" s="157" t="s">
        <v>752</v>
      </c>
      <c r="H16" s="149" t="s">
        <v>775</v>
      </c>
    </row>
    <row r="17" spans="1:8" ht="30" x14ac:dyDescent="0.25">
      <c r="A17" s="236" t="s">
        <v>684</v>
      </c>
      <c r="B17" s="23" t="s">
        <v>681</v>
      </c>
      <c r="C17" s="23" t="s">
        <v>700</v>
      </c>
      <c r="D17" s="114" t="s">
        <v>757</v>
      </c>
      <c r="E17" s="76"/>
      <c r="F17" s="196">
        <v>15</v>
      </c>
      <c r="G17" s="157" t="s">
        <v>752</v>
      </c>
      <c r="H17" s="149" t="s">
        <v>775</v>
      </c>
    </row>
    <row r="18" spans="1:8" x14ac:dyDescent="0.25">
      <c r="A18" s="237"/>
      <c r="B18" s="150"/>
      <c r="C18" s="150"/>
      <c r="D18" s="76"/>
      <c r="E18" s="76"/>
      <c r="F18" s="77"/>
      <c r="G18" s="76"/>
      <c r="H18" s="172"/>
    </row>
    <row r="19" spans="1:8" ht="30" x14ac:dyDescent="0.25">
      <c r="A19" s="236" t="s">
        <v>684</v>
      </c>
      <c r="B19" s="23" t="s">
        <v>698</v>
      </c>
      <c r="C19" s="23" t="s">
        <v>699</v>
      </c>
      <c r="D19" s="147" t="s">
        <v>755</v>
      </c>
      <c r="E19" s="148"/>
      <c r="F19" s="238">
        <v>200000</v>
      </c>
      <c r="G19" s="239" t="s">
        <v>16</v>
      </c>
      <c r="H19" s="173"/>
    </row>
    <row r="20" spans="1:8" x14ac:dyDescent="0.25">
      <c r="A20" s="236"/>
      <c r="B20" s="23"/>
      <c r="C20" s="23"/>
      <c r="D20" s="150"/>
      <c r="E20" s="148"/>
      <c r="F20" s="239"/>
      <c r="G20" s="239"/>
      <c r="H20" s="173"/>
    </row>
    <row r="21" spans="1:8" ht="30" x14ac:dyDescent="0.25">
      <c r="A21" s="236" t="s">
        <v>684</v>
      </c>
      <c r="B21" s="23" t="s">
        <v>13</v>
      </c>
      <c r="C21" s="23" t="s">
        <v>701</v>
      </c>
      <c r="D21" s="114" t="s">
        <v>756</v>
      </c>
      <c r="E21" s="90"/>
      <c r="F21" s="115">
        <v>150000</v>
      </c>
      <c r="G21" s="86" t="s">
        <v>16</v>
      </c>
      <c r="H21" s="174"/>
    </row>
    <row r="22" spans="1:8" ht="30" x14ac:dyDescent="0.25">
      <c r="A22" s="236" t="s">
        <v>684</v>
      </c>
      <c r="B22" s="23" t="s">
        <v>13</v>
      </c>
      <c r="C22" s="23" t="s">
        <v>701</v>
      </c>
      <c r="D22" s="114" t="s">
        <v>758</v>
      </c>
      <c r="E22" s="90"/>
      <c r="F22" s="115">
        <v>50000</v>
      </c>
      <c r="G22" s="86" t="s">
        <v>16</v>
      </c>
      <c r="H22" s="174"/>
    </row>
    <row r="23" spans="1:8" s="103" customFormat="1" x14ac:dyDescent="0.25">
      <c r="A23" s="236"/>
      <c r="B23" s="23"/>
      <c r="C23" s="23"/>
      <c r="D23" s="89"/>
      <c r="E23" s="90"/>
      <c r="F23" s="91"/>
      <c r="G23" s="86"/>
      <c r="H23" s="174"/>
    </row>
    <row r="24" spans="1:8" ht="30" x14ac:dyDescent="0.25">
      <c r="A24" s="236" t="s">
        <v>684</v>
      </c>
      <c r="B24" s="23" t="s">
        <v>17</v>
      </c>
      <c r="C24" s="23" t="s">
        <v>18</v>
      </c>
      <c r="D24" s="92" t="s">
        <v>759</v>
      </c>
      <c r="E24" s="90"/>
      <c r="F24" s="197" t="s">
        <v>19</v>
      </c>
      <c r="G24" s="93" t="s">
        <v>19</v>
      </c>
      <c r="H24" s="174"/>
    </row>
    <row r="25" spans="1:8" x14ac:dyDescent="0.25">
      <c r="A25" s="236"/>
      <c r="B25" s="23"/>
      <c r="C25" s="23"/>
      <c r="D25" s="146"/>
      <c r="E25" s="146"/>
      <c r="F25" s="198"/>
      <c r="G25" s="93"/>
      <c r="H25" s="174"/>
    </row>
    <row r="26" spans="1:8" x14ac:dyDescent="0.25">
      <c r="A26" s="236" t="s">
        <v>684</v>
      </c>
      <c r="B26" s="23" t="s">
        <v>20</v>
      </c>
      <c r="C26" s="23" t="s">
        <v>21</v>
      </c>
      <c r="D26" s="182"/>
      <c r="E26" s="161"/>
      <c r="F26" s="199">
        <v>30</v>
      </c>
      <c r="G26" s="152" t="s">
        <v>19</v>
      </c>
      <c r="H26" s="175"/>
    </row>
    <row r="27" spans="1:8" x14ac:dyDescent="0.25">
      <c r="A27" s="236"/>
      <c r="B27" s="23"/>
      <c r="C27" s="23"/>
      <c r="D27" s="158"/>
      <c r="E27" s="170"/>
      <c r="F27" s="240"/>
      <c r="G27" s="152"/>
      <c r="H27" s="175"/>
    </row>
    <row r="28" spans="1:8" ht="45" x14ac:dyDescent="0.25">
      <c r="A28" s="245" t="s">
        <v>684</v>
      </c>
      <c r="B28" s="136" t="s">
        <v>731</v>
      </c>
      <c r="C28" s="136" t="s">
        <v>732</v>
      </c>
      <c r="D28" s="246" t="s">
        <v>760</v>
      </c>
      <c r="E28" s="241"/>
      <c r="F28" s="207"/>
      <c r="G28" s="155" t="s">
        <v>733</v>
      </c>
      <c r="H28" s="186" t="s">
        <v>761</v>
      </c>
    </row>
    <row r="29" spans="1:8" x14ac:dyDescent="0.25">
      <c r="A29" s="23"/>
      <c r="B29" s="23"/>
      <c r="C29" s="23"/>
      <c r="D29" s="158"/>
      <c r="E29" s="159"/>
      <c r="F29" s="200"/>
      <c r="G29" s="160"/>
      <c r="H29" s="176"/>
    </row>
    <row r="30" spans="1:8" ht="30" x14ac:dyDescent="0.25">
      <c r="A30" s="23" t="s">
        <v>686</v>
      </c>
      <c r="B30" s="2" t="s">
        <v>681</v>
      </c>
      <c r="C30" s="2" t="s">
        <v>682</v>
      </c>
      <c r="D30" s="114" t="s">
        <v>753</v>
      </c>
      <c r="E30" s="76"/>
      <c r="F30" s="196">
        <v>100</v>
      </c>
      <c r="G30" s="157" t="s">
        <v>752</v>
      </c>
      <c r="H30" s="149" t="s">
        <v>775</v>
      </c>
    </row>
    <row r="31" spans="1:8" x14ac:dyDescent="0.25">
      <c r="A31" s="23"/>
      <c r="B31" s="4"/>
      <c r="C31" s="4"/>
      <c r="D31" s="76"/>
      <c r="E31" s="76"/>
      <c r="F31" s="77"/>
      <c r="G31" s="76"/>
      <c r="H31" s="172"/>
    </row>
    <row r="32" spans="1:8" ht="30" x14ac:dyDescent="0.25">
      <c r="A32" s="23" t="s">
        <v>686</v>
      </c>
      <c r="B32" s="2" t="s">
        <v>13</v>
      </c>
      <c r="C32" s="2" t="s">
        <v>14</v>
      </c>
      <c r="D32" s="114" t="s">
        <v>758</v>
      </c>
      <c r="E32" s="90"/>
      <c r="F32" s="115">
        <v>30000</v>
      </c>
      <c r="G32" s="86" t="s">
        <v>16</v>
      </c>
      <c r="H32" s="174"/>
    </row>
    <row r="33" spans="1:8" s="103" customFormat="1" x14ac:dyDescent="0.25">
      <c r="A33" s="23"/>
      <c r="B33" s="2"/>
      <c r="C33" s="2"/>
      <c r="D33" s="89"/>
      <c r="E33" s="90"/>
      <c r="F33" s="91"/>
      <c r="G33" s="86"/>
      <c r="H33" s="174"/>
    </row>
    <row r="34" spans="1:8" ht="30" x14ac:dyDescent="0.25">
      <c r="A34" s="23" t="s">
        <v>686</v>
      </c>
      <c r="B34" s="2" t="s">
        <v>17</v>
      </c>
      <c r="C34" s="2" t="s">
        <v>18</v>
      </c>
      <c r="D34" s="183" t="s">
        <v>15</v>
      </c>
      <c r="E34" s="90"/>
      <c r="F34" s="197" t="s">
        <v>19</v>
      </c>
      <c r="G34" s="152" t="s">
        <v>19</v>
      </c>
      <c r="H34" s="174"/>
    </row>
    <row r="35" spans="1:8" s="103" customFormat="1" ht="30" x14ac:dyDescent="0.25">
      <c r="A35" s="136" t="s">
        <v>770</v>
      </c>
      <c r="B35" s="136" t="s">
        <v>771</v>
      </c>
      <c r="C35" s="136" t="s">
        <v>772</v>
      </c>
      <c r="D35" s="187"/>
      <c r="E35" s="185"/>
      <c r="F35" s="201">
        <v>400</v>
      </c>
      <c r="G35" s="129" t="s">
        <v>773</v>
      </c>
      <c r="H35" s="186" t="s">
        <v>774</v>
      </c>
    </row>
    <row r="36" spans="1:8" x14ac:dyDescent="0.25">
      <c r="A36" s="23"/>
      <c r="D36" s="158"/>
      <c r="E36" s="161"/>
      <c r="F36" s="202"/>
      <c r="G36" s="152"/>
      <c r="H36" s="175"/>
    </row>
    <row r="37" spans="1:8" ht="30" x14ac:dyDescent="0.25">
      <c r="A37" s="23" t="s">
        <v>685</v>
      </c>
      <c r="B37" s="23" t="s">
        <v>628</v>
      </c>
      <c r="C37" s="23" t="s">
        <v>702</v>
      </c>
      <c r="D37" s="92" t="s">
        <v>762</v>
      </c>
      <c r="E37" s="90"/>
      <c r="F37" s="203">
        <v>30000</v>
      </c>
      <c r="G37" s="153" t="s">
        <v>16</v>
      </c>
      <c r="H37" s="174"/>
    </row>
    <row r="38" spans="1:8" x14ac:dyDescent="0.25">
      <c r="A38" s="23"/>
      <c r="B38" s="23"/>
      <c r="C38" s="23"/>
      <c r="D38" s="154"/>
      <c r="E38" s="154"/>
      <c r="F38" s="204"/>
      <c r="G38" s="154"/>
      <c r="H38" s="174"/>
    </row>
    <row r="39" spans="1:8" ht="30" x14ac:dyDescent="0.25">
      <c r="A39" s="23" t="s">
        <v>685</v>
      </c>
      <c r="B39" s="23" t="s">
        <v>13</v>
      </c>
      <c r="C39" s="23" t="s">
        <v>701</v>
      </c>
      <c r="D39" s="147" t="s">
        <v>763</v>
      </c>
      <c r="E39" s="133"/>
      <c r="F39" s="205">
        <v>30000</v>
      </c>
      <c r="G39" s="154" t="s">
        <v>16</v>
      </c>
      <c r="H39" s="174"/>
    </row>
    <row r="40" spans="1:8" s="103" customFormat="1" x14ac:dyDescent="0.25">
      <c r="A40" s="23"/>
      <c r="B40" s="23"/>
      <c r="C40" s="23"/>
      <c r="D40" s="156"/>
      <c r="E40" s="90"/>
      <c r="F40" s="91"/>
      <c r="G40" s="154"/>
      <c r="H40" s="174"/>
    </row>
    <row r="41" spans="1:8" ht="30" x14ac:dyDescent="0.25">
      <c r="A41" s="136" t="s">
        <v>685</v>
      </c>
      <c r="B41" s="136" t="s">
        <v>17</v>
      </c>
      <c r="C41" s="136" t="s">
        <v>18</v>
      </c>
      <c r="D41" s="151" t="s">
        <v>764</v>
      </c>
      <c r="E41" s="134"/>
      <c r="F41" s="206" t="s">
        <v>19</v>
      </c>
      <c r="G41" s="129" t="s">
        <v>19</v>
      </c>
      <c r="H41" s="177"/>
    </row>
    <row r="42" spans="1:8" x14ac:dyDescent="0.25">
      <c r="A42" s="23"/>
      <c r="B42" s="23"/>
      <c r="C42" s="23"/>
      <c r="D42" s="162"/>
      <c r="E42" s="133"/>
      <c r="F42" s="202"/>
      <c r="G42" s="152"/>
      <c r="H42" s="174"/>
    </row>
    <row r="43" spans="1:8" ht="45" x14ac:dyDescent="0.25">
      <c r="A43" s="2" t="s">
        <v>22</v>
      </c>
      <c r="B43" s="2" t="s">
        <v>23</v>
      </c>
      <c r="C43" s="2" t="s">
        <v>24</v>
      </c>
      <c r="D43" s="92" t="s">
        <v>765</v>
      </c>
      <c r="E43" s="95"/>
      <c r="F43" s="94">
        <v>200000</v>
      </c>
      <c r="G43" s="154" t="s">
        <v>25</v>
      </c>
      <c r="H43" s="178"/>
    </row>
    <row r="44" spans="1:8" ht="45" x14ac:dyDescent="0.25">
      <c r="A44" s="2" t="s">
        <v>22</v>
      </c>
      <c r="B44" s="2" t="s">
        <v>23</v>
      </c>
      <c r="C44" s="2" t="s">
        <v>24</v>
      </c>
      <c r="D44" s="92" t="s">
        <v>766</v>
      </c>
      <c r="E44" s="95"/>
      <c r="F44" s="94">
        <v>30000</v>
      </c>
      <c r="G44" s="154" t="s">
        <v>25</v>
      </c>
      <c r="H44" s="178"/>
    </row>
    <row r="45" spans="1:8" ht="45" x14ac:dyDescent="0.25">
      <c r="A45" s="2" t="s">
        <v>22</v>
      </c>
      <c r="B45" s="2" t="s">
        <v>23</v>
      </c>
      <c r="C45" s="2" t="s">
        <v>24</v>
      </c>
      <c r="D45" s="92" t="s">
        <v>767</v>
      </c>
      <c r="E45" s="95"/>
      <c r="F45" s="94">
        <v>90000</v>
      </c>
      <c r="G45" s="154" t="s">
        <v>25</v>
      </c>
      <c r="H45" s="178"/>
    </row>
    <row r="46" spans="1:8" x14ac:dyDescent="0.25">
      <c r="D46" s="183"/>
      <c r="E46" s="95"/>
      <c r="F46" s="184"/>
      <c r="G46" s="154"/>
      <c r="H46" s="178"/>
    </row>
    <row r="47" spans="1:8" ht="30" x14ac:dyDescent="0.25">
      <c r="A47" s="136" t="s">
        <v>22</v>
      </c>
      <c r="B47" s="136" t="s">
        <v>692</v>
      </c>
      <c r="C47" s="136" t="s">
        <v>703</v>
      </c>
      <c r="D47" s="151" t="s">
        <v>768</v>
      </c>
      <c r="E47" s="145"/>
      <c r="F47" s="207">
        <v>20000</v>
      </c>
      <c r="G47" s="155" t="s">
        <v>25</v>
      </c>
      <c r="H47" s="179"/>
    </row>
    <row r="48" spans="1:8" x14ac:dyDescent="0.25">
      <c r="A48" s="14"/>
      <c r="B48" s="14"/>
      <c r="C48" s="14"/>
      <c r="D48" s="141"/>
      <c r="E48" s="142"/>
      <c r="F48" s="143"/>
      <c r="G48" s="144"/>
      <c r="H48" s="178"/>
    </row>
    <row r="49" spans="1:16" ht="30" x14ac:dyDescent="0.25">
      <c r="A49" s="2" t="s">
        <v>26</v>
      </c>
      <c r="B49" s="2" t="s">
        <v>27</v>
      </c>
      <c r="C49" s="2" t="s">
        <v>28</v>
      </c>
      <c r="D49" s="128" t="s">
        <v>769</v>
      </c>
      <c r="E49" s="90"/>
      <c r="F49" s="115">
        <v>1</v>
      </c>
      <c r="G49" s="93" t="s">
        <v>19</v>
      </c>
      <c r="H49" s="174"/>
    </row>
    <row r="50" spans="1:16" ht="30" x14ac:dyDescent="0.25">
      <c r="A50" s="2" t="s">
        <v>26</v>
      </c>
      <c r="B50" s="2" t="s">
        <v>27</v>
      </c>
      <c r="C50" s="2" t="s">
        <v>28</v>
      </c>
      <c r="D50" s="128" t="s">
        <v>776</v>
      </c>
      <c r="E50" s="90"/>
      <c r="F50" s="115">
        <v>1</v>
      </c>
      <c r="G50" s="93" t="s">
        <v>19</v>
      </c>
      <c r="H50" s="174"/>
    </row>
    <row r="51" spans="1:16" x14ac:dyDescent="0.25">
      <c r="C51" s="17"/>
      <c r="D51" s="91"/>
      <c r="E51" s="90"/>
      <c r="F51" s="91"/>
      <c r="G51" s="86"/>
      <c r="H51" s="174"/>
    </row>
    <row r="52" spans="1:16" ht="30" x14ac:dyDescent="0.25">
      <c r="A52" s="2" t="s">
        <v>26</v>
      </c>
      <c r="B52" s="2" t="s">
        <v>29</v>
      </c>
      <c r="C52" s="2" t="s">
        <v>30</v>
      </c>
      <c r="D52" s="91"/>
      <c r="E52" s="90"/>
      <c r="F52" s="94">
        <v>3</v>
      </c>
      <c r="G52" s="86" t="s">
        <v>31</v>
      </c>
      <c r="H52" s="247" t="s">
        <v>32</v>
      </c>
    </row>
    <row r="53" spans="1:16" ht="30" x14ac:dyDescent="0.25">
      <c r="A53" s="2" t="s">
        <v>26</v>
      </c>
      <c r="B53" s="2" t="s">
        <v>29</v>
      </c>
      <c r="C53" s="2" t="s">
        <v>30</v>
      </c>
      <c r="D53" s="91"/>
      <c r="E53" s="90"/>
      <c r="F53" s="94">
        <v>12</v>
      </c>
      <c r="G53" s="86" t="s">
        <v>31</v>
      </c>
      <c r="H53" s="247" t="s">
        <v>32</v>
      </c>
    </row>
    <row r="54" spans="1:16" x14ac:dyDescent="0.25">
      <c r="A54" s="3"/>
      <c r="B54" s="3"/>
      <c r="C54" s="3"/>
      <c r="D54" s="131"/>
      <c r="E54" s="130"/>
      <c r="F54" s="131"/>
      <c r="G54" s="132"/>
      <c r="H54" s="180"/>
    </row>
    <row r="55" spans="1:16" ht="30" x14ac:dyDescent="0.25">
      <c r="A55" s="2" t="s">
        <v>629</v>
      </c>
      <c r="B55" s="2" t="s">
        <v>33</v>
      </c>
      <c r="C55" s="2" t="s">
        <v>34</v>
      </c>
      <c r="D55" s="157" t="s">
        <v>15</v>
      </c>
      <c r="E55" s="90"/>
      <c r="F55" s="115"/>
      <c r="G55" s="128" t="s">
        <v>15</v>
      </c>
      <c r="H55" s="181"/>
    </row>
    <row r="56" spans="1:16" x14ac:dyDescent="0.25">
      <c r="C56" s="17"/>
      <c r="D56" s="97"/>
      <c r="E56" s="90"/>
      <c r="F56" s="98"/>
      <c r="G56" s="99"/>
      <c r="H56" s="96"/>
    </row>
    <row r="57" spans="1:16" customFormat="1" ht="15" customHeight="1" x14ac:dyDescent="0.25">
      <c r="A57" s="347" t="s">
        <v>927</v>
      </c>
      <c r="B57" s="348"/>
      <c r="C57" s="348"/>
      <c r="D57" s="348"/>
      <c r="E57" s="348"/>
      <c r="F57" s="348"/>
      <c r="G57" s="348"/>
      <c r="H57" s="349"/>
      <c r="I57" s="2"/>
      <c r="J57" s="2"/>
      <c r="K57" s="2"/>
      <c r="L57" s="2"/>
      <c r="M57" s="2"/>
      <c r="N57" s="2"/>
      <c r="O57" s="2"/>
      <c r="P57" s="2"/>
    </row>
    <row r="58" spans="1:16" customFormat="1" x14ac:dyDescent="0.25">
      <c r="A58" s="352"/>
      <c r="B58" s="353"/>
      <c r="C58" s="353"/>
      <c r="D58" s="353"/>
      <c r="E58" s="353"/>
      <c r="F58" s="353"/>
      <c r="G58" s="353"/>
      <c r="H58" s="354"/>
      <c r="I58" s="2"/>
      <c r="J58" s="2"/>
      <c r="K58" s="2"/>
      <c r="L58" s="2"/>
      <c r="M58" s="2"/>
      <c r="N58" s="2"/>
      <c r="O58" s="2"/>
      <c r="P58" s="2"/>
    </row>
    <row r="59" spans="1:16" customFormat="1" x14ac:dyDescent="0.25">
      <c r="A59" s="355"/>
      <c r="B59" s="356"/>
      <c r="C59" s="356"/>
      <c r="D59" s="356"/>
      <c r="E59" s="356"/>
      <c r="F59" s="356"/>
      <c r="G59" s="356"/>
      <c r="H59" s="357"/>
      <c r="I59" s="2"/>
      <c r="J59" s="2"/>
      <c r="K59" s="2"/>
      <c r="L59" s="2"/>
      <c r="M59" s="2"/>
      <c r="N59" s="2"/>
      <c r="O59" s="2"/>
      <c r="P59" s="2"/>
    </row>
    <row r="60" spans="1:16" customFormat="1" x14ac:dyDescent="0.25">
      <c r="A60" s="355"/>
      <c r="B60" s="356"/>
      <c r="C60" s="356"/>
      <c r="D60" s="356"/>
      <c r="E60" s="356"/>
      <c r="F60" s="356"/>
      <c r="G60" s="356"/>
      <c r="H60" s="357"/>
      <c r="I60" s="2"/>
      <c r="J60" s="2"/>
      <c r="K60" s="2"/>
      <c r="L60" s="2"/>
      <c r="M60" s="2"/>
      <c r="N60" s="2"/>
      <c r="O60" s="2"/>
      <c r="P60" s="2"/>
    </row>
    <row r="61" spans="1:16" customFormat="1" x14ac:dyDescent="0.25">
      <c r="A61" s="358"/>
      <c r="B61" s="359"/>
      <c r="C61" s="359"/>
      <c r="D61" s="359"/>
      <c r="E61" s="359"/>
      <c r="F61" s="359"/>
      <c r="G61" s="359"/>
      <c r="H61" s="360"/>
      <c r="I61" s="2"/>
      <c r="J61" s="2"/>
      <c r="K61" s="2"/>
      <c r="L61" s="2"/>
      <c r="M61" s="2"/>
      <c r="N61" s="2"/>
      <c r="O61" s="2"/>
      <c r="P61" s="2"/>
    </row>
    <row r="62" spans="1:16" x14ac:dyDescent="0.25">
      <c r="G62" s="86"/>
      <c r="H62" s="9"/>
    </row>
    <row r="63" spans="1:16" x14ac:dyDescent="0.25">
      <c r="A63" s="6"/>
      <c r="B63" s="6"/>
      <c r="C63" s="6"/>
      <c r="D63" s="6"/>
      <c r="E63" s="6"/>
      <c r="F63" s="6"/>
      <c r="G63" s="326"/>
      <c r="H63" s="327"/>
      <c r="I63" s="6"/>
      <c r="J63" s="6"/>
      <c r="K63" s="6"/>
      <c r="L63" s="6"/>
      <c r="M63" s="6"/>
      <c r="N63" s="6"/>
      <c r="O63" s="6"/>
      <c r="P63" s="6"/>
    </row>
    <row r="64" spans="1:16" ht="21" x14ac:dyDescent="0.35">
      <c r="A64" s="5" t="s">
        <v>35</v>
      </c>
      <c r="D64" s="135"/>
      <c r="E64" s="33"/>
      <c r="F64" s="88"/>
      <c r="G64" s="33"/>
    </row>
    <row r="65" spans="1:6" x14ac:dyDescent="0.25">
      <c r="A65" s="24" t="s">
        <v>36</v>
      </c>
      <c r="B65" s="25" t="s">
        <v>37</v>
      </c>
      <c r="C65" s="25"/>
      <c r="D65" s="59" t="s">
        <v>16</v>
      </c>
    </row>
    <row r="66" spans="1:6" x14ac:dyDescent="0.25">
      <c r="A66" s="41"/>
      <c r="D66" s="116" t="s">
        <v>15</v>
      </c>
    </row>
    <row r="67" spans="1:6" x14ac:dyDescent="0.25">
      <c r="A67" s="41" t="s">
        <v>41</v>
      </c>
      <c r="B67" s="2" t="s">
        <v>42</v>
      </c>
      <c r="C67" s="2" t="s">
        <v>43</v>
      </c>
      <c r="D67" s="49">
        <v>330000</v>
      </c>
      <c r="F67" s="135"/>
    </row>
    <row r="68" spans="1:6" x14ac:dyDescent="0.25">
      <c r="A68" s="41" t="s">
        <v>44</v>
      </c>
      <c r="B68" s="2" t="s">
        <v>522</v>
      </c>
      <c r="C68" s="2" t="s">
        <v>541</v>
      </c>
      <c r="D68" s="49">
        <v>220000</v>
      </c>
      <c r="F68" s="135"/>
    </row>
    <row r="69" spans="1:6" x14ac:dyDescent="0.25">
      <c r="A69" s="138" t="s">
        <v>687</v>
      </c>
      <c r="B69" s="23" t="s">
        <v>688</v>
      </c>
      <c r="C69" s="23" t="s">
        <v>689</v>
      </c>
      <c r="D69" s="55">
        <f>D67+D68</f>
        <v>550000</v>
      </c>
      <c r="F69" s="135"/>
    </row>
    <row r="70" spans="1:6" x14ac:dyDescent="0.25">
      <c r="A70" s="138"/>
      <c r="B70" s="23"/>
      <c r="C70" s="23"/>
      <c r="D70" s="117" t="s">
        <v>16</v>
      </c>
    </row>
    <row r="71" spans="1:6" x14ac:dyDescent="0.25">
      <c r="A71" s="138" t="s">
        <v>38</v>
      </c>
      <c r="B71" s="23" t="s">
        <v>39</v>
      </c>
      <c r="C71" s="23" t="s">
        <v>716</v>
      </c>
      <c r="D71" s="49">
        <v>200000</v>
      </c>
    </row>
    <row r="72" spans="1:6" x14ac:dyDescent="0.25">
      <c r="A72" s="138" t="s">
        <v>40</v>
      </c>
      <c r="B72" s="23" t="s">
        <v>622</v>
      </c>
      <c r="C72" s="23" t="s">
        <v>717</v>
      </c>
      <c r="D72" s="49">
        <v>30000</v>
      </c>
    </row>
    <row r="73" spans="1:6" x14ac:dyDescent="0.25">
      <c r="A73" s="138" t="s">
        <v>45</v>
      </c>
      <c r="B73" s="23" t="s">
        <v>630</v>
      </c>
      <c r="C73" s="23" t="s">
        <v>704</v>
      </c>
      <c r="D73" s="49">
        <v>30000</v>
      </c>
    </row>
    <row r="74" spans="1:6" x14ac:dyDescent="0.25">
      <c r="A74" s="138" t="s">
        <v>48</v>
      </c>
      <c r="B74" s="23" t="s">
        <v>46</v>
      </c>
      <c r="C74" s="23" t="s">
        <v>47</v>
      </c>
      <c r="D74" s="49">
        <v>0</v>
      </c>
    </row>
    <row r="75" spans="1:6" x14ac:dyDescent="0.25">
      <c r="A75" s="138" t="s">
        <v>49</v>
      </c>
      <c r="B75" s="23" t="s">
        <v>542</v>
      </c>
      <c r="C75" s="23" t="s">
        <v>523</v>
      </c>
      <c r="D75" s="49">
        <v>0</v>
      </c>
    </row>
    <row r="76" spans="1:6" x14ac:dyDescent="0.25">
      <c r="A76" s="138" t="s">
        <v>631</v>
      </c>
      <c r="B76" s="23" t="s">
        <v>50</v>
      </c>
      <c r="C76" s="23" t="s">
        <v>51</v>
      </c>
      <c r="D76" s="49">
        <v>0</v>
      </c>
    </row>
    <row r="77" spans="1:6" x14ac:dyDescent="0.25">
      <c r="A77" s="138"/>
      <c r="B77" s="23"/>
      <c r="C77" s="23"/>
      <c r="D77" s="117" t="s">
        <v>25</v>
      </c>
    </row>
    <row r="78" spans="1:6" x14ac:dyDescent="0.25">
      <c r="A78" s="41" t="s">
        <v>52</v>
      </c>
      <c r="B78" s="2" t="s">
        <v>53</v>
      </c>
      <c r="C78" s="23" t="s">
        <v>928</v>
      </c>
      <c r="D78" s="49">
        <v>260000</v>
      </c>
    </row>
    <row r="79" spans="1:6" x14ac:dyDescent="0.25">
      <c r="A79" s="41"/>
      <c r="D79" s="117" t="s">
        <v>57</v>
      </c>
    </row>
    <row r="80" spans="1:6" x14ac:dyDescent="0.25">
      <c r="A80" s="50" t="s">
        <v>54</v>
      </c>
      <c r="B80" s="3" t="s">
        <v>55</v>
      </c>
      <c r="C80" s="3" t="s">
        <v>56</v>
      </c>
      <c r="D80" s="51">
        <f>D74+D75+D78</f>
        <v>260000</v>
      </c>
    </row>
    <row r="81" spans="1:16" x14ac:dyDescent="0.25">
      <c r="D81" s="18"/>
      <c r="E81" s="19"/>
    </row>
    <row r="82" spans="1:16" x14ac:dyDescent="0.25">
      <c r="A82" s="6"/>
      <c r="B82" s="6"/>
      <c r="C82" s="6"/>
      <c r="D82" s="11"/>
      <c r="E82" s="11"/>
      <c r="F82" s="12"/>
      <c r="G82" s="6"/>
      <c r="H82" s="6"/>
      <c r="I82" s="6"/>
      <c r="J82" s="6"/>
      <c r="K82" s="6"/>
      <c r="L82" s="6"/>
      <c r="M82" s="6"/>
      <c r="N82" s="6"/>
      <c r="O82" s="6"/>
      <c r="P82" s="6"/>
    </row>
    <row r="83" spans="1:16" ht="21.75" thickBot="1" x14ac:dyDescent="0.4">
      <c r="A83" s="5" t="s">
        <v>58</v>
      </c>
      <c r="F83" s="18"/>
      <c r="G83" s="19"/>
    </row>
    <row r="84" spans="1:16" ht="21" x14ac:dyDescent="0.35">
      <c r="A84" s="39" t="s">
        <v>36</v>
      </c>
      <c r="B84" s="27" t="s">
        <v>37</v>
      </c>
      <c r="C84" s="27" t="s">
        <v>10</v>
      </c>
      <c r="D84" s="40" t="s">
        <v>59</v>
      </c>
      <c r="F84" s="39" t="s">
        <v>36</v>
      </c>
      <c r="G84" s="27" t="s">
        <v>37</v>
      </c>
      <c r="H84" s="27" t="s">
        <v>10</v>
      </c>
      <c r="I84" s="40" t="s">
        <v>59</v>
      </c>
      <c r="K84" s="126" t="s">
        <v>155</v>
      </c>
      <c r="L84" s="127"/>
      <c r="M84" s="127"/>
      <c r="N84" s="127"/>
      <c r="O84" s="127"/>
      <c r="P84" s="214"/>
    </row>
    <row r="85" spans="1:16" ht="30" x14ac:dyDescent="0.25">
      <c r="A85" s="137"/>
      <c r="B85" s="113" t="s">
        <v>60</v>
      </c>
      <c r="C85" s="113" t="s">
        <v>735</v>
      </c>
      <c r="D85" s="48">
        <v>1500</v>
      </c>
      <c r="F85" s="47" t="s">
        <v>61</v>
      </c>
      <c r="G85" s="20" t="s">
        <v>62</v>
      </c>
      <c r="H85" s="20" t="s">
        <v>63</v>
      </c>
      <c r="I85" s="44">
        <f>D115+D117*D113/D99</f>
        <v>24.788844621513945</v>
      </c>
      <c r="K85" s="367" t="s">
        <v>918</v>
      </c>
      <c r="L85" s="368"/>
      <c r="M85" s="368"/>
      <c r="N85" s="368"/>
      <c r="O85" s="368"/>
      <c r="P85" s="369"/>
    </row>
    <row r="86" spans="1:16" ht="30" x14ac:dyDescent="0.25">
      <c r="A86" s="138"/>
      <c r="B86" s="23" t="s">
        <v>901</v>
      </c>
      <c r="C86" s="23" t="s">
        <v>727</v>
      </c>
      <c r="D86" s="49">
        <v>280</v>
      </c>
      <c r="E86" s="168"/>
      <c r="F86" s="41" t="s">
        <v>64</v>
      </c>
      <c r="G86" s="2" t="s">
        <v>860</v>
      </c>
      <c r="H86" s="2" t="s">
        <v>65</v>
      </c>
      <c r="I86" s="42">
        <f>D106+D117*D92/D99</f>
        <v>56.972111553784863</v>
      </c>
      <c r="K86" s="370" t="s">
        <v>919</v>
      </c>
      <c r="L86" s="365"/>
      <c r="M86" s="365"/>
      <c r="N86" s="365"/>
      <c r="O86" s="365"/>
      <c r="P86" s="366"/>
    </row>
    <row r="87" spans="1:16" ht="30" x14ac:dyDescent="0.25">
      <c r="A87" s="23"/>
      <c r="B87" s="23" t="s">
        <v>726</v>
      </c>
      <c r="C87" s="23" t="s">
        <v>728</v>
      </c>
      <c r="D87" s="62">
        <v>20</v>
      </c>
      <c r="E87" s="14"/>
      <c r="F87" s="41" t="s">
        <v>68</v>
      </c>
      <c r="G87" s="2" t="s">
        <v>69</v>
      </c>
      <c r="H87" s="2" t="s">
        <v>690</v>
      </c>
      <c r="I87" s="42">
        <f>D107+D117*D93/D99</f>
        <v>41.314741035856571</v>
      </c>
      <c r="K87" s="252"/>
      <c r="L87" s="253"/>
      <c r="M87" s="148" t="s">
        <v>892</v>
      </c>
      <c r="N87" s="218" t="s">
        <v>892</v>
      </c>
      <c r="O87" s="148" t="s">
        <v>893</v>
      </c>
      <c r="P87" s="209" t="s">
        <v>893</v>
      </c>
    </row>
    <row r="88" spans="1:16" ht="30" x14ac:dyDescent="0.25">
      <c r="A88" s="248"/>
      <c r="B88" s="23" t="s">
        <v>66</v>
      </c>
      <c r="C88" s="23" t="s">
        <v>67</v>
      </c>
      <c r="D88" s="49">
        <v>50</v>
      </c>
      <c r="F88" s="41" t="s">
        <v>73</v>
      </c>
      <c r="G88" s="2" t="s">
        <v>543</v>
      </c>
      <c r="H88" s="2" t="s">
        <v>524</v>
      </c>
      <c r="I88" s="42">
        <f>D116+D117*D114/D99</f>
        <v>16.525896414342629</v>
      </c>
      <c r="K88" s="254" t="s">
        <v>835</v>
      </c>
      <c r="L88" s="215" t="s">
        <v>683</v>
      </c>
      <c r="M88" s="255" t="s">
        <v>36</v>
      </c>
      <c r="N88" s="256" t="s">
        <v>11</v>
      </c>
      <c r="O88" s="255" t="s">
        <v>36</v>
      </c>
      <c r="P88" s="257" t="s">
        <v>11</v>
      </c>
    </row>
    <row r="89" spans="1:16" ht="45" x14ac:dyDescent="0.25">
      <c r="A89" s="248"/>
      <c r="B89" s="23" t="s">
        <v>934</v>
      </c>
      <c r="C89" s="23" t="s">
        <v>942</v>
      </c>
      <c r="D89" s="62">
        <v>20</v>
      </c>
      <c r="F89" s="41" t="s">
        <v>75</v>
      </c>
      <c r="G89" s="2" t="s">
        <v>861</v>
      </c>
      <c r="H89" s="2" t="s">
        <v>544</v>
      </c>
      <c r="I89" s="42">
        <f>D108+D117*D94/D99</f>
        <v>64.800796812749013</v>
      </c>
      <c r="K89" s="210" t="s">
        <v>839</v>
      </c>
      <c r="L89" s="215" t="s">
        <v>706</v>
      </c>
      <c r="M89" s="255" t="s">
        <v>159</v>
      </c>
      <c r="N89" s="258">
        <f>D90*1000/D80</f>
        <v>6.6538461538461542</v>
      </c>
      <c r="O89" s="255" t="s">
        <v>850</v>
      </c>
      <c r="P89" s="259">
        <f>1000*(D90-D101)/D80</f>
        <v>6.5769230769230766</v>
      </c>
    </row>
    <row r="90" spans="1:16" ht="30" x14ac:dyDescent="0.25">
      <c r="A90" s="139" t="s">
        <v>70</v>
      </c>
      <c r="B90" s="32" t="s">
        <v>71</v>
      </c>
      <c r="C90" s="32" t="s">
        <v>72</v>
      </c>
      <c r="D90" s="250">
        <f>D85+D86+D87-D88-D89</f>
        <v>1730</v>
      </c>
      <c r="E90" s="14"/>
      <c r="F90" s="41" t="s">
        <v>77</v>
      </c>
      <c r="G90" s="2" t="s">
        <v>576</v>
      </c>
      <c r="H90" s="2" t="s">
        <v>545</v>
      </c>
      <c r="I90" s="164">
        <f>D109+D117*D95/D99</f>
        <v>6.2629482071713145</v>
      </c>
      <c r="K90" s="211" t="s">
        <v>840</v>
      </c>
      <c r="L90" s="216" t="s">
        <v>253</v>
      </c>
      <c r="M90" s="148" t="s">
        <v>160</v>
      </c>
      <c r="N90" s="260">
        <f>I113*1000/D71</f>
        <v>1.4837008491483625</v>
      </c>
      <c r="O90" s="148" t="s">
        <v>851</v>
      </c>
      <c r="P90" s="261">
        <f>1000*((D113+I85+D92+I86)/D71)</f>
        <v>1.4588047808764941</v>
      </c>
    </row>
    <row r="91" spans="1:16" ht="30" x14ac:dyDescent="0.25">
      <c r="A91" s="138"/>
      <c r="B91" s="23" t="s">
        <v>74</v>
      </c>
      <c r="C91" s="23" t="s">
        <v>525</v>
      </c>
      <c r="D91" s="49">
        <v>100</v>
      </c>
      <c r="F91" s="41" t="s">
        <v>80</v>
      </c>
      <c r="G91" s="2" t="s">
        <v>636</v>
      </c>
      <c r="H91" s="2" t="s">
        <v>637</v>
      </c>
      <c r="I91" s="164">
        <f>D110+D117*D96/D99</f>
        <v>41.314741035856571</v>
      </c>
      <c r="K91" s="211" t="s">
        <v>866</v>
      </c>
      <c r="L91" s="216" t="s">
        <v>253</v>
      </c>
      <c r="M91" s="148" t="s">
        <v>161</v>
      </c>
      <c r="N91" s="260" t="str">
        <f>IFERROR(1000*I116/D74,"-")</f>
        <v>-</v>
      </c>
      <c r="O91" s="148" t="s">
        <v>852</v>
      </c>
      <c r="P91" s="261" t="str">
        <f>IFERROR(1000*((D93+I87)/D74),"-")</f>
        <v>-</v>
      </c>
    </row>
    <row r="92" spans="1:16" ht="30" x14ac:dyDescent="0.25">
      <c r="A92" s="138"/>
      <c r="B92" s="23" t="s">
        <v>873</v>
      </c>
      <c r="C92" s="23" t="s">
        <v>76</v>
      </c>
      <c r="D92" s="49">
        <v>150</v>
      </c>
      <c r="F92" s="41" t="s">
        <v>83</v>
      </c>
      <c r="G92" s="2" t="s">
        <v>81</v>
      </c>
      <c r="H92" s="106" t="s">
        <v>82</v>
      </c>
      <c r="I92" s="42">
        <f>D111+$D$117*D97/$D$99</f>
        <v>5.1314741035856573</v>
      </c>
      <c r="K92" s="210" t="s">
        <v>874</v>
      </c>
      <c r="L92" s="215" t="s">
        <v>253</v>
      </c>
      <c r="M92" s="255" t="s">
        <v>162</v>
      </c>
      <c r="N92" s="262" t="str">
        <f>IFERROR(1000*(I113/D71+I116/D74),"-")</f>
        <v>-</v>
      </c>
      <c r="O92" s="255" t="s">
        <v>853</v>
      </c>
      <c r="P92" s="263" t="str">
        <f>IFERROR(P90+P91,"-")</f>
        <v>-</v>
      </c>
    </row>
    <row r="93" spans="1:16" ht="30" x14ac:dyDescent="0.25">
      <c r="A93" s="23"/>
      <c r="B93" s="23" t="s">
        <v>78</v>
      </c>
      <c r="C93" s="23" t="s">
        <v>79</v>
      </c>
      <c r="D93" s="49">
        <v>100</v>
      </c>
      <c r="F93" s="50" t="s">
        <v>90</v>
      </c>
      <c r="G93" s="3" t="s">
        <v>84</v>
      </c>
      <c r="H93" s="105" t="s">
        <v>85</v>
      </c>
      <c r="I93" s="43">
        <f>D112+$D$117*D98/$D$99</f>
        <v>197.88844621513945</v>
      </c>
      <c r="K93" s="211" t="s">
        <v>842</v>
      </c>
      <c r="L93" s="216" t="s">
        <v>253</v>
      </c>
      <c r="M93" s="148" t="s">
        <v>163</v>
      </c>
      <c r="N93" s="260">
        <f>1000*I114/D72</f>
        <v>9.948698707827095</v>
      </c>
      <c r="O93" s="148" t="s">
        <v>854</v>
      </c>
      <c r="P93" s="261">
        <f>1000*((D114+I88+D94+I89)/D72)</f>
        <v>9.8775564409030547</v>
      </c>
    </row>
    <row r="94" spans="1:16" x14ac:dyDescent="0.25">
      <c r="A94" s="23"/>
      <c r="B94" s="23" t="s">
        <v>872</v>
      </c>
      <c r="C94" s="23" t="s">
        <v>546</v>
      </c>
      <c r="D94" s="49">
        <v>175</v>
      </c>
      <c r="K94" s="211" t="s">
        <v>867</v>
      </c>
      <c r="L94" s="216" t="s">
        <v>253</v>
      </c>
      <c r="M94" s="148" t="s">
        <v>642</v>
      </c>
      <c r="N94" s="260" t="str">
        <f>IFERROR(1000*I117/D75,"-")</f>
        <v>-</v>
      </c>
      <c r="O94" s="148" t="s">
        <v>855</v>
      </c>
      <c r="P94" s="261" t="str">
        <f>IFERROR(1000*((D95+I90)/D75),"-")</f>
        <v>-</v>
      </c>
    </row>
    <row r="95" spans="1:16" ht="30" x14ac:dyDescent="0.25">
      <c r="A95" s="23"/>
      <c r="B95" s="23" t="s">
        <v>577</v>
      </c>
      <c r="C95" s="23" t="s">
        <v>547</v>
      </c>
      <c r="D95" s="49">
        <v>20</v>
      </c>
      <c r="F95" s="39" t="s">
        <v>36</v>
      </c>
      <c r="G95" s="27" t="s">
        <v>37</v>
      </c>
      <c r="H95" s="27" t="s">
        <v>10</v>
      </c>
      <c r="I95" s="40" t="s">
        <v>59</v>
      </c>
      <c r="K95" s="264" t="s">
        <v>843</v>
      </c>
      <c r="L95" s="215" t="s">
        <v>253</v>
      </c>
      <c r="M95" s="255" t="s">
        <v>643</v>
      </c>
      <c r="N95" s="265" t="str">
        <f>IFERROR(1000*(I114/D72+I117/D75),"-")</f>
        <v>-</v>
      </c>
      <c r="O95" s="255" t="s">
        <v>856</v>
      </c>
      <c r="P95" s="266" t="str">
        <f>IFERROR(P93+P94,"-")</f>
        <v>-</v>
      </c>
    </row>
    <row r="96" spans="1:16" x14ac:dyDescent="0.25">
      <c r="A96" s="23"/>
      <c r="B96" s="23" t="s">
        <v>632</v>
      </c>
      <c r="C96" s="23" t="s">
        <v>633</v>
      </c>
      <c r="D96" s="49">
        <v>100</v>
      </c>
      <c r="F96" s="47" t="s">
        <v>95</v>
      </c>
      <c r="G96" s="20" t="s">
        <v>91</v>
      </c>
      <c r="H96" s="20" t="s">
        <v>511</v>
      </c>
      <c r="I96" s="44">
        <f>D101*I150/D141</f>
        <v>0.43425784821700703</v>
      </c>
      <c r="K96" s="212" t="s">
        <v>844</v>
      </c>
      <c r="L96" s="217" t="s">
        <v>253</v>
      </c>
      <c r="M96" s="267" t="s">
        <v>644</v>
      </c>
      <c r="N96" s="219">
        <f>1000*I115/D73</f>
        <v>4.7874191337869085</v>
      </c>
      <c r="O96" s="267" t="s">
        <v>857</v>
      </c>
      <c r="P96" s="268">
        <f>1000*(D96+I91)/D73</f>
        <v>4.710491367861886</v>
      </c>
    </row>
    <row r="97" spans="1:16" ht="30" x14ac:dyDescent="0.25">
      <c r="A97" s="248"/>
      <c r="B97" s="23" t="s">
        <v>86</v>
      </c>
      <c r="C97" s="23" t="s">
        <v>87</v>
      </c>
      <c r="D97" s="104">
        <v>10</v>
      </c>
      <c r="E97" s="13"/>
      <c r="F97" s="41" t="s">
        <v>98</v>
      </c>
      <c r="G97" s="2" t="s">
        <v>863</v>
      </c>
      <c r="H97" s="2" t="s">
        <v>512</v>
      </c>
      <c r="I97" s="42">
        <f>D101*I152/D141</f>
        <v>4.5449558061566586</v>
      </c>
      <c r="K97" s="211" t="s">
        <v>845</v>
      </c>
      <c r="L97" s="216" t="s">
        <v>707</v>
      </c>
      <c r="M97" s="148" t="s">
        <v>645</v>
      </c>
      <c r="N97" s="269">
        <f>1000*I119/D78</f>
        <v>3.0976640861899583</v>
      </c>
      <c r="O97" s="148" t="s">
        <v>868</v>
      </c>
      <c r="P97" s="270">
        <f>1000*(D98+I93)/D78</f>
        <v>3.0688017162120751</v>
      </c>
    </row>
    <row r="98" spans="1:16" ht="30" x14ac:dyDescent="0.25">
      <c r="A98" s="248"/>
      <c r="B98" s="23" t="s">
        <v>88</v>
      </c>
      <c r="C98" s="23" t="s">
        <v>89</v>
      </c>
      <c r="D98" s="104">
        <v>600</v>
      </c>
      <c r="E98" s="13"/>
      <c r="F98" s="41" t="s">
        <v>102</v>
      </c>
      <c r="G98" s="2" t="s">
        <v>99</v>
      </c>
      <c r="H98" s="2" t="s">
        <v>513</v>
      </c>
      <c r="I98" s="42">
        <f>D101*I159/D141</f>
        <v>2.8334857258965762</v>
      </c>
      <c r="K98" s="210" t="s">
        <v>846</v>
      </c>
      <c r="L98" s="215" t="s">
        <v>707</v>
      </c>
      <c r="M98" s="255" t="s">
        <v>693</v>
      </c>
      <c r="N98" s="265" t="str">
        <f>IFERROR(1000*(I118/D76+I119/D78),"-")</f>
        <v>-</v>
      </c>
      <c r="O98" s="255" t="s">
        <v>869</v>
      </c>
      <c r="P98" s="266" t="str">
        <f>IFERROR(1000*((D97+I92)/D76+(D98+I93)/D78),"-")</f>
        <v>-</v>
      </c>
    </row>
    <row r="99" spans="1:16" ht="30" x14ac:dyDescent="0.25">
      <c r="A99" s="138" t="s">
        <v>92</v>
      </c>
      <c r="B99" s="34" t="s">
        <v>93</v>
      </c>
      <c r="C99" s="34" t="s">
        <v>94</v>
      </c>
      <c r="D99" s="55">
        <f>SUM(D91:D98)</f>
        <v>1255</v>
      </c>
      <c r="E99" s="13"/>
      <c r="F99" s="41" t="s">
        <v>104</v>
      </c>
      <c r="G99" s="2" t="s">
        <v>578</v>
      </c>
      <c r="H99" s="2" t="s">
        <v>526</v>
      </c>
      <c r="I99" s="42">
        <f>D101*I151/D141</f>
        <v>0.28950523214467133</v>
      </c>
      <c r="K99" s="212" t="s">
        <v>847</v>
      </c>
      <c r="L99" s="217" t="s">
        <v>707</v>
      </c>
      <c r="M99" s="267" t="s">
        <v>848</v>
      </c>
      <c r="N99" s="219">
        <f>N96+N97</f>
        <v>7.8850832199768668</v>
      </c>
      <c r="O99" s="267" t="s">
        <v>870</v>
      </c>
      <c r="P99" s="268">
        <f>P96+P97</f>
        <v>7.7792930840739611</v>
      </c>
    </row>
    <row r="100" spans="1:16" ht="45.75" thickBot="1" x14ac:dyDescent="0.3">
      <c r="A100" s="138"/>
      <c r="B100" s="23" t="s">
        <v>96</v>
      </c>
      <c r="C100" s="79" t="s">
        <v>97</v>
      </c>
      <c r="D100" s="49">
        <v>70</v>
      </c>
      <c r="E100" s="13"/>
      <c r="F100" s="41" t="s">
        <v>107</v>
      </c>
      <c r="G100" s="2" t="s">
        <v>862</v>
      </c>
      <c r="H100" s="2" t="s">
        <v>579</v>
      </c>
      <c r="I100" s="42">
        <f>D101*I153/D141</f>
        <v>1.8447627755765517</v>
      </c>
      <c r="K100" s="213" t="s">
        <v>164</v>
      </c>
      <c r="L100" s="271" t="s">
        <v>19</v>
      </c>
      <c r="M100" s="272" t="s">
        <v>849</v>
      </c>
      <c r="N100" s="273">
        <f>(D86+D87)/D90</f>
        <v>0.17341040462427745</v>
      </c>
      <c r="O100" s="272" t="s">
        <v>871</v>
      </c>
      <c r="P100" s="274">
        <f>(D86+D87)/(D90-D101)</f>
        <v>0.17543859649122806</v>
      </c>
    </row>
    <row r="101" spans="1:16" ht="30" x14ac:dyDescent="0.25">
      <c r="A101" s="139"/>
      <c r="B101" s="136" t="s">
        <v>100</v>
      </c>
      <c r="C101" s="32" t="s">
        <v>101</v>
      </c>
      <c r="D101" s="53">
        <v>20</v>
      </c>
      <c r="E101" s="13"/>
      <c r="F101" s="41" t="s">
        <v>111</v>
      </c>
      <c r="G101" s="2" t="s">
        <v>580</v>
      </c>
      <c r="H101" s="2" t="s">
        <v>581</v>
      </c>
      <c r="I101" s="164">
        <f>D101*I160/D141</f>
        <v>8.948491313623895E-2</v>
      </c>
    </row>
    <row r="102" spans="1:16" x14ac:dyDescent="0.25">
      <c r="A102" s="139" t="s">
        <v>103</v>
      </c>
      <c r="B102" s="32" t="s">
        <v>623</v>
      </c>
      <c r="C102" s="32" t="s">
        <v>624</v>
      </c>
      <c r="D102" s="51">
        <f>D99+D100+D101</f>
        <v>1345</v>
      </c>
      <c r="F102" s="41" t="s">
        <v>115</v>
      </c>
      <c r="G102" s="2" t="s">
        <v>638</v>
      </c>
      <c r="H102" s="2" t="s">
        <v>639</v>
      </c>
      <c r="I102" s="42">
        <f>D101*I158/D141</f>
        <v>2.3078329777506856</v>
      </c>
    </row>
    <row r="103" spans="1:16" ht="30" x14ac:dyDescent="0.25">
      <c r="A103" s="249" t="s">
        <v>105</v>
      </c>
      <c r="B103" s="163" t="s">
        <v>106</v>
      </c>
      <c r="C103" s="163" t="s">
        <v>705</v>
      </c>
      <c r="D103" s="75">
        <f>D90-D102</f>
        <v>385</v>
      </c>
      <c r="F103" s="41" t="s">
        <v>120</v>
      </c>
      <c r="G103" s="2" t="s">
        <v>112</v>
      </c>
      <c r="H103" s="2" t="s">
        <v>514</v>
      </c>
      <c r="I103" s="42">
        <f>D101*I161/D141</f>
        <v>0.15149852687188867</v>
      </c>
    </row>
    <row r="104" spans="1:16" x14ac:dyDescent="0.25">
      <c r="A104" s="249" t="s">
        <v>108</v>
      </c>
      <c r="B104" s="163" t="s">
        <v>109</v>
      </c>
      <c r="C104" s="163" t="s">
        <v>110</v>
      </c>
      <c r="D104" s="75">
        <f>D100+D103</f>
        <v>455</v>
      </c>
      <c r="F104" s="50" t="s">
        <v>123</v>
      </c>
      <c r="G104" s="3" t="s">
        <v>116</v>
      </c>
      <c r="H104" s="3" t="s">
        <v>515</v>
      </c>
      <c r="I104" s="43">
        <f>D101*I162/D141</f>
        <v>7.5042161942497208</v>
      </c>
    </row>
    <row r="105" spans="1:16" ht="30" x14ac:dyDescent="0.25">
      <c r="A105" s="138"/>
      <c r="B105" s="23" t="s">
        <v>113</v>
      </c>
      <c r="C105" s="23" t="s">
        <v>114</v>
      </c>
      <c r="D105" s="54">
        <v>10</v>
      </c>
      <c r="E105" s="14"/>
    </row>
    <row r="106" spans="1:16" ht="45" x14ac:dyDescent="0.25">
      <c r="A106" s="138"/>
      <c r="B106" s="23" t="s">
        <v>858</v>
      </c>
      <c r="C106" s="23" t="s">
        <v>117</v>
      </c>
      <c r="D106" s="54">
        <v>10</v>
      </c>
      <c r="E106" s="14"/>
      <c r="F106" s="39" t="s">
        <v>36</v>
      </c>
      <c r="G106" s="27" t="s">
        <v>37</v>
      </c>
      <c r="H106" s="27" t="s">
        <v>10</v>
      </c>
      <c r="I106" s="40" t="s">
        <v>59</v>
      </c>
    </row>
    <row r="107" spans="1:16" ht="30" x14ac:dyDescent="0.25">
      <c r="A107" s="23"/>
      <c r="B107" s="23" t="s">
        <v>118</v>
      </c>
      <c r="C107" s="23" t="s">
        <v>119</v>
      </c>
      <c r="D107" s="54">
        <v>10</v>
      </c>
      <c r="E107" s="14"/>
      <c r="F107" s="47" t="s">
        <v>126</v>
      </c>
      <c r="G107" s="20" t="s">
        <v>121</v>
      </c>
      <c r="H107" s="20" t="s">
        <v>122</v>
      </c>
      <c r="I107" s="107">
        <f>D113+I85+I96</f>
        <v>85.223102469730946</v>
      </c>
    </row>
    <row r="108" spans="1:16" ht="45" x14ac:dyDescent="0.25">
      <c r="A108" s="23"/>
      <c r="B108" s="23" t="s">
        <v>859</v>
      </c>
      <c r="C108" s="23" t="s">
        <v>548</v>
      </c>
      <c r="D108" s="54">
        <v>10</v>
      </c>
      <c r="E108" s="14"/>
      <c r="F108" s="41" t="s">
        <v>130</v>
      </c>
      <c r="G108" s="2" t="s">
        <v>583</v>
      </c>
      <c r="H108" s="2" t="s">
        <v>527</v>
      </c>
      <c r="I108" s="45">
        <f>D114+I88+I99</f>
        <v>56.815401646487295</v>
      </c>
    </row>
    <row r="109" spans="1:16" ht="30" x14ac:dyDescent="0.25">
      <c r="A109" s="23"/>
      <c r="B109" s="23" t="s">
        <v>582</v>
      </c>
      <c r="C109" s="23" t="s">
        <v>549</v>
      </c>
      <c r="D109" s="54">
        <v>0</v>
      </c>
      <c r="E109" s="14"/>
      <c r="F109" s="41" t="s">
        <v>137</v>
      </c>
      <c r="G109" s="2" t="s">
        <v>864</v>
      </c>
      <c r="H109" s="2" t="s">
        <v>127</v>
      </c>
      <c r="I109" s="45">
        <f>D92+I86+I97</f>
        <v>211.51706735994151</v>
      </c>
    </row>
    <row r="110" spans="1:16" ht="30" x14ac:dyDescent="0.25">
      <c r="B110" s="2" t="s">
        <v>634</v>
      </c>
      <c r="C110" s="2" t="s">
        <v>635</v>
      </c>
      <c r="D110" s="54">
        <v>10</v>
      </c>
      <c r="E110" s="14"/>
      <c r="F110" s="50" t="s">
        <v>141</v>
      </c>
      <c r="G110" s="3" t="s">
        <v>865</v>
      </c>
      <c r="H110" s="3" t="s">
        <v>550</v>
      </c>
      <c r="I110" s="46">
        <f>D94+I89+I100</f>
        <v>241.64555958832557</v>
      </c>
    </row>
    <row r="111" spans="1:16" ht="30" x14ac:dyDescent="0.25">
      <c r="A111" s="26"/>
      <c r="B111" s="2" t="s">
        <v>124</v>
      </c>
      <c r="C111" s="2" t="s">
        <v>125</v>
      </c>
      <c r="D111" s="56">
        <v>2</v>
      </c>
      <c r="E111" s="14"/>
    </row>
    <row r="112" spans="1:16" ht="30" x14ac:dyDescent="0.25">
      <c r="A112" s="80"/>
      <c r="B112" s="3" t="s">
        <v>128</v>
      </c>
      <c r="C112" s="3" t="s">
        <v>129</v>
      </c>
      <c r="D112" s="112">
        <v>10</v>
      </c>
      <c r="E112" s="14"/>
      <c r="F112" s="39" t="s">
        <v>36</v>
      </c>
      <c r="G112" s="27" t="s">
        <v>37</v>
      </c>
      <c r="H112" s="27" t="s">
        <v>10</v>
      </c>
      <c r="I112" s="40" t="s">
        <v>59</v>
      </c>
    </row>
    <row r="113" spans="1:16" x14ac:dyDescent="0.25">
      <c r="A113" s="41" t="s">
        <v>131</v>
      </c>
      <c r="B113" s="30" t="s">
        <v>132</v>
      </c>
      <c r="C113" s="30" t="s">
        <v>133</v>
      </c>
      <c r="D113" s="57">
        <f>D91*D67/D69</f>
        <v>60</v>
      </c>
      <c r="E113" s="14"/>
      <c r="F113" s="47" t="s">
        <v>145</v>
      </c>
      <c r="G113" s="20" t="s">
        <v>138</v>
      </c>
      <c r="H113" s="108" t="s">
        <v>139</v>
      </c>
      <c r="I113" s="107">
        <f>I107+I109</f>
        <v>296.74016982967248</v>
      </c>
    </row>
    <row r="114" spans="1:16" x14ac:dyDescent="0.25">
      <c r="A114" s="50" t="s">
        <v>134</v>
      </c>
      <c r="B114" s="31" t="s">
        <v>584</v>
      </c>
      <c r="C114" s="31" t="s">
        <v>528</v>
      </c>
      <c r="D114" s="51">
        <f>D91*D68/D69</f>
        <v>40</v>
      </c>
      <c r="E114" s="14"/>
      <c r="F114" s="41" t="s">
        <v>148</v>
      </c>
      <c r="G114" s="2" t="s">
        <v>586</v>
      </c>
      <c r="H114" s="74" t="s">
        <v>551</v>
      </c>
      <c r="I114" s="45">
        <f>I108+I110</f>
        <v>298.46096123481288</v>
      </c>
    </row>
    <row r="115" spans="1:16" x14ac:dyDescent="0.25">
      <c r="A115" s="41" t="s">
        <v>135</v>
      </c>
      <c r="B115" s="30" t="s">
        <v>136</v>
      </c>
      <c r="C115" s="30" t="s">
        <v>882</v>
      </c>
      <c r="D115" s="57">
        <f>D105*D67/D69</f>
        <v>6</v>
      </c>
      <c r="E115" s="14"/>
      <c r="F115" s="41" t="s">
        <v>149</v>
      </c>
      <c r="G115" s="2" t="s">
        <v>640</v>
      </c>
      <c r="H115" s="74" t="s">
        <v>641</v>
      </c>
      <c r="I115" s="45">
        <f>D96+I91+I102</f>
        <v>143.62257401360725</v>
      </c>
    </row>
    <row r="116" spans="1:16" ht="30" x14ac:dyDescent="0.25">
      <c r="A116" s="50" t="s">
        <v>140</v>
      </c>
      <c r="B116" s="31" t="s">
        <v>585</v>
      </c>
      <c r="C116" s="31" t="s">
        <v>883</v>
      </c>
      <c r="D116" s="51">
        <f>D105*D68/D69</f>
        <v>4</v>
      </c>
      <c r="E116" s="14"/>
      <c r="F116" s="41" t="s">
        <v>152</v>
      </c>
      <c r="G116" s="2" t="s">
        <v>146</v>
      </c>
      <c r="H116" s="2" t="s">
        <v>147</v>
      </c>
      <c r="I116" s="45">
        <f>D93+I87+I98</f>
        <v>144.14822676175314</v>
      </c>
    </row>
    <row r="117" spans="1:16" ht="30" x14ac:dyDescent="0.25">
      <c r="A117" s="50" t="s">
        <v>142</v>
      </c>
      <c r="B117" s="31" t="s">
        <v>143</v>
      </c>
      <c r="C117" s="31" t="s">
        <v>144</v>
      </c>
      <c r="D117" s="52">
        <f>D104-D105-SUM(D106:D112)</f>
        <v>393</v>
      </c>
      <c r="E117" s="14"/>
      <c r="F117" s="41" t="s">
        <v>156</v>
      </c>
      <c r="G117" s="2" t="s">
        <v>587</v>
      </c>
      <c r="H117" s="2" t="s">
        <v>569</v>
      </c>
      <c r="I117" s="42">
        <f>D95+I90+I101</f>
        <v>26.352433120307552</v>
      </c>
    </row>
    <row r="118" spans="1:16" x14ac:dyDescent="0.25">
      <c r="E118" s="14"/>
      <c r="F118" s="41" t="s">
        <v>157</v>
      </c>
      <c r="G118" s="2" t="s">
        <v>150</v>
      </c>
      <c r="H118" s="2" t="s">
        <v>151</v>
      </c>
      <c r="I118" s="45">
        <f>D97+I92+I103</f>
        <v>15.282972630457545</v>
      </c>
    </row>
    <row r="119" spans="1:16" x14ac:dyDescent="0.25">
      <c r="E119" s="14"/>
      <c r="F119" s="50" t="s">
        <v>158</v>
      </c>
      <c r="G119" s="3" t="s">
        <v>153</v>
      </c>
      <c r="H119" s="3" t="s">
        <v>154</v>
      </c>
      <c r="I119" s="46">
        <f>D98+I93+I104</f>
        <v>805.39266240938912</v>
      </c>
    </row>
    <row r="120" spans="1:16" x14ac:dyDescent="0.25">
      <c r="E120" s="14"/>
    </row>
    <row r="121" spans="1:16" x14ac:dyDescent="0.25">
      <c r="A121" s="6"/>
      <c r="B121" s="6"/>
      <c r="C121" s="6"/>
      <c r="D121" s="15"/>
      <c r="E121" s="16"/>
      <c r="F121" s="6"/>
      <c r="G121" s="6"/>
      <c r="H121" s="7"/>
      <c r="I121" s="7"/>
      <c r="J121" s="6"/>
      <c r="K121" s="6"/>
      <c r="L121" s="6"/>
      <c r="M121" s="6"/>
      <c r="N121" s="6"/>
      <c r="O121" s="6"/>
      <c r="P121" s="6"/>
    </row>
    <row r="122" spans="1:16" ht="32.25" thickBot="1" x14ac:dyDescent="0.4">
      <c r="A122" s="275" t="s">
        <v>165</v>
      </c>
      <c r="B122" s="23"/>
      <c r="C122" s="276" t="s">
        <v>748</v>
      </c>
    </row>
    <row r="123" spans="1:16" ht="21" x14ac:dyDescent="0.35">
      <c r="A123" s="277" t="s">
        <v>36</v>
      </c>
      <c r="B123" s="278" t="s">
        <v>37</v>
      </c>
      <c r="C123" s="278" t="s">
        <v>10</v>
      </c>
      <c r="D123" s="40" t="s">
        <v>59</v>
      </c>
      <c r="F123" s="39" t="s">
        <v>36</v>
      </c>
      <c r="G123" s="27" t="s">
        <v>37</v>
      </c>
      <c r="H123" s="27" t="s">
        <v>10</v>
      </c>
      <c r="I123" s="40" t="s">
        <v>59</v>
      </c>
      <c r="K123" s="284" t="s">
        <v>155</v>
      </c>
      <c r="L123" s="285"/>
      <c r="M123" s="285"/>
      <c r="N123" s="285"/>
      <c r="O123" s="285"/>
      <c r="P123" s="286"/>
    </row>
    <row r="124" spans="1:16" ht="30" x14ac:dyDescent="0.25">
      <c r="A124" s="137"/>
      <c r="B124" s="113" t="s">
        <v>166</v>
      </c>
      <c r="C124" s="113" t="s">
        <v>729</v>
      </c>
      <c r="D124" s="48">
        <v>1800</v>
      </c>
      <c r="F124" s="137" t="s">
        <v>307</v>
      </c>
      <c r="G124" s="225" t="s">
        <v>292</v>
      </c>
      <c r="H124" s="225" t="s">
        <v>293</v>
      </c>
      <c r="I124" s="109">
        <f>D153+D154+D156+D173</f>
        <v>179</v>
      </c>
      <c r="K124" s="331" t="s">
        <v>943</v>
      </c>
      <c r="L124" s="154"/>
      <c r="M124" s="23"/>
      <c r="N124" s="23"/>
      <c r="O124" s="23"/>
      <c r="P124" s="293"/>
    </row>
    <row r="125" spans="1:16" ht="45" x14ac:dyDescent="0.25">
      <c r="A125" s="138"/>
      <c r="B125" s="23" t="s">
        <v>170</v>
      </c>
      <c r="C125" s="23" t="s">
        <v>730</v>
      </c>
      <c r="D125" s="49">
        <v>500</v>
      </c>
      <c r="F125" s="41"/>
      <c r="G125" s="2" t="s">
        <v>294</v>
      </c>
      <c r="H125" s="2" t="s">
        <v>295</v>
      </c>
      <c r="I125" s="62">
        <v>30</v>
      </c>
      <c r="K125" s="330" t="s">
        <v>944</v>
      </c>
      <c r="L125" s="155"/>
      <c r="M125" s="136"/>
      <c r="N125" s="136"/>
      <c r="O125" s="136"/>
      <c r="P125" s="251"/>
    </row>
    <row r="126" spans="1:16" ht="45" x14ac:dyDescent="0.25">
      <c r="A126" s="248"/>
      <c r="B126" s="23" t="s">
        <v>174</v>
      </c>
      <c r="C126" s="23" t="s">
        <v>175</v>
      </c>
      <c r="D126" s="49">
        <v>30</v>
      </c>
      <c r="F126" s="41"/>
      <c r="G126" s="2" t="s">
        <v>296</v>
      </c>
      <c r="H126" s="2" t="s">
        <v>297</v>
      </c>
      <c r="I126" s="62">
        <v>10</v>
      </c>
      <c r="K126" s="228"/>
      <c r="L126" s="287"/>
      <c r="M126" s="148" t="s">
        <v>892</v>
      </c>
      <c r="N126" s="222" t="s">
        <v>892</v>
      </c>
      <c r="O126" s="148" t="s">
        <v>893</v>
      </c>
      <c r="P126" s="209" t="s">
        <v>893</v>
      </c>
    </row>
    <row r="127" spans="1:16" ht="45" x14ac:dyDescent="0.25">
      <c r="A127" s="138"/>
      <c r="B127" s="23" t="s">
        <v>179</v>
      </c>
      <c r="C127" s="23" t="s">
        <v>180</v>
      </c>
      <c r="D127" s="49">
        <v>5</v>
      </c>
      <c r="F127" s="21"/>
      <c r="G127" s="2" t="s">
        <v>298</v>
      </c>
      <c r="H127" s="2" t="s">
        <v>299</v>
      </c>
      <c r="I127" s="62">
        <v>10</v>
      </c>
      <c r="K127" s="288" t="s">
        <v>836</v>
      </c>
      <c r="L127" s="215" t="s">
        <v>683</v>
      </c>
      <c r="M127" s="255" t="s">
        <v>36</v>
      </c>
      <c r="N127" s="256" t="s">
        <v>11</v>
      </c>
      <c r="O127" s="255" t="s">
        <v>36</v>
      </c>
      <c r="P127" s="257" t="s">
        <v>11</v>
      </c>
    </row>
    <row r="128" spans="1:16" ht="45" x14ac:dyDescent="0.25">
      <c r="A128" s="138"/>
      <c r="B128" s="23" t="s">
        <v>182</v>
      </c>
      <c r="C128" s="23" t="s">
        <v>183</v>
      </c>
      <c r="D128" s="49">
        <v>10</v>
      </c>
      <c r="F128" s="41"/>
      <c r="G128" s="74" t="s">
        <v>604</v>
      </c>
      <c r="H128" s="2" t="s">
        <v>559</v>
      </c>
      <c r="I128" s="62">
        <v>10</v>
      </c>
      <c r="K128" s="289" t="s">
        <v>839</v>
      </c>
      <c r="L128" s="217" t="s">
        <v>706</v>
      </c>
      <c r="M128" s="267" t="s">
        <v>264</v>
      </c>
      <c r="N128" s="290">
        <f>D141*1000/D80</f>
        <v>8.907692307692308</v>
      </c>
      <c r="O128" s="267" t="s">
        <v>694</v>
      </c>
      <c r="P128" s="291">
        <f>1000*(D141-(D131-D135))/D80</f>
        <v>8.3692307692307697</v>
      </c>
    </row>
    <row r="129" spans="1:16" ht="45" x14ac:dyDescent="0.25">
      <c r="A129" s="138"/>
      <c r="B129" s="23" t="s">
        <v>185</v>
      </c>
      <c r="C129" s="23" t="s">
        <v>186</v>
      </c>
      <c r="D129" s="49">
        <v>1</v>
      </c>
      <c r="F129" s="41"/>
      <c r="G129" s="74" t="s">
        <v>605</v>
      </c>
      <c r="H129" s="2" t="s">
        <v>560</v>
      </c>
      <c r="I129" s="62">
        <v>0</v>
      </c>
      <c r="K129" s="228" t="s">
        <v>840</v>
      </c>
      <c r="L129" s="216" t="s">
        <v>253</v>
      </c>
      <c r="M129" s="148" t="s">
        <v>273</v>
      </c>
      <c r="N129" s="292">
        <f>I156*1000/D71</f>
        <v>2.8829647058823524</v>
      </c>
      <c r="O129" s="23"/>
      <c r="P129" s="293"/>
    </row>
    <row r="130" spans="1:16" ht="45" x14ac:dyDescent="0.25">
      <c r="A130" s="139" t="s">
        <v>188</v>
      </c>
      <c r="B130" s="32" t="s">
        <v>189</v>
      </c>
      <c r="C130" s="32" t="s">
        <v>902</v>
      </c>
      <c r="D130" s="52">
        <f>SUM(D124:D129)</f>
        <v>2346</v>
      </c>
      <c r="F130" s="41"/>
      <c r="G130" s="74" t="s">
        <v>652</v>
      </c>
      <c r="H130" s="2" t="s">
        <v>653</v>
      </c>
      <c r="I130" s="62">
        <v>10</v>
      </c>
      <c r="K130" s="228" t="s">
        <v>875</v>
      </c>
      <c r="L130" s="216" t="s">
        <v>253</v>
      </c>
      <c r="M130" s="148" t="s">
        <v>274</v>
      </c>
      <c r="N130" s="260" t="str">
        <f>IFERROR(1000*I159/D74,"-")</f>
        <v>-</v>
      </c>
      <c r="O130" s="23"/>
      <c r="P130" s="293"/>
    </row>
    <row r="131" spans="1:16" ht="45" x14ac:dyDescent="0.25">
      <c r="A131" s="138"/>
      <c r="B131" s="279" t="s">
        <v>193</v>
      </c>
      <c r="C131" s="23" t="s">
        <v>946</v>
      </c>
      <c r="D131" s="49">
        <v>150</v>
      </c>
      <c r="F131" s="41"/>
      <c r="G131" s="2" t="s">
        <v>300</v>
      </c>
      <c r="H131" s="2" t="s">
        <v>301</v>
      </c>
      <c r="I131" s="49">
        <v>2</v>
      </c>
      <c r="K131" s="294" t="s">
        <v>874</v>
      </c>
      <c r="L131" s="215" t="s">
        <v>253</v>
      </c>
      <c r="M131" s="255" t="s">
        <v>281</v>
      </c>
      <c r="N131" s="262" t="str">
        <f>IFERROR(1000*(I156/D71+I159/D74),"-")</f>
        <v>-</v>
      </c>
      <c r="O131" s="136"/>
      <c r="P131" s="251"/>
    </row>
    <row r="132" spans="1:16" ht="45" x14ac:dyDescent="0.25">
      <c r="A132" s="139" t="s">
        <v>197</v>
      </c>
      <c r="B132" s="32" t="s">
        <v>198</v>
      </c>
      <c r="C132" s="32" t="s">
        <v>199</v>
      </c>
      <c r="D132" s="52">
        <f>D130+D131</f>
        <v>2496</v>
      </c>
      <c r="F132" s="50"/>
      <c r="G132" s="3" t="s">
        <v>302</v>
      </c>
      <c r="H132" s="3" t="s">
        <v>303</v>
      </c>
      <c r="I132" s="53">
        <v>30</v>
      </c>
      <c r="K132" s="228" t="s">
        <v>842</v>
      </c>
      <c r="L132" s="216" t="s">
        <v>253</v>
      </c>
      <c r="M132" s="148" t="s">
        <v>517</v>
      </c>
      <c r="N132" s="292">
        <f>I157*1000/D72</f>
        <v>8.2382745098039223</v>
      </c>
      <c r="O132" s="148" t="s">
        <v>876</v>
      </c>
      <c r="P132" s="295">
        <f>(I157-(D131-D135))*1000/D72</f>
        <v>3.5716078431372549</v>
      </c>
    </row>
    <row r="133" spans="1:16" ht="30" x14ac:dyDescent="0.25">
      <c r="A133" s="138"/>
      <c r="B133" s="23" t="s">
        <v>201</v>
      </c>
      <c r="C133" s="23" t="s">
        <v>202</v>
      </c>
      <c r="D133" s="49">
        <v>5</v>
      </c>
      <c r="F133" s="41" t="s">
        <v>308</v>
      </c>
      <c r="G133" s="30" t="s">
        <v>309</v>
      </c>
      <c r="H133" s="2" t="s">
        <v>516</v>
      </c>
      <c r="I133" s="55">
        <f>I125*D67/D69</f>
        <v>18</v>
      </c>
      <c r="K133" s="228" t="s">
        <v>884</v>
      </c>
      <c r="L133" s="216" t="s">
        <v>253</v>
      </c>
      <c r="M133" s="148" t="s">
        <v>286</v>
      </c>
      <c r="N133" s="260" t="str">
        <f>IFERROR(1000*I160/D75,"-")</f>
        <v>-</v>
      </c>
      <c r="O133" s="148" t="s">
        <v>885</v>
      </c>
      <c r="P133" s="261" t="str">
        <f>IFERROR(1000*((I157-(D131-D135))/D72+I160/D75),"-")</f>
        <v>-</v>
      </c>
    </row>
    <row r="134" spans="1:16" ht="30" x14ac:dyDescent="0.25">
      <c r="A134" s="138"/>
      <c r="B134" s="23" t="s">
        <v>929</v>
      </c>
      <c r="C134" s="23" t="s">
        <v>747</v>
      </c>
      <c r="D134" s="49">
        <v>100</v>
      </c>
      <c r="F134" s="50" t="s">
        <v>310</v>
      </c>
      <c r="G134" s="31" t="s">
        <v>606</v>
      </c>
      <c r="H134" s="3" t="s">
        <v>535</v>
      </c>
      <c r="I134" s="52">
        <f>I125*D68/D69</f>
        <v>12</v>
      </c>
      <c r="K134" s="294" t="s">
        <v>843</v>
      </c>
      <c r="L134" s="215" t="s">
        <v>253</v>
      </c>
      <c r="M134" s="255" t="s">
        <v>466</v>
      </c>
      <c r="N134" s="262" t="str">
        <f>IFERROR(1000*(I157/D72+I160/D75),"-")</f>
        <v>-</v>
      </c>
      <c r="O134" s="136"/>
      <c r="P134" s="251"/>
    </row>
    <row r="135" spans="1:16" ht="30" x14ac:dyDescent="0.25">
      <c r="A135" s="138"/>
      <c r="B135" s="23" t="s">
        <v>930</v>
      </c>
      <c r="C135" s="23" t="s">
        <v>746</v>
      </c>
      <c r="D135" s="62">
        <v>10</v>
      </c>
      <c r="F135" s="50" t="s">
        <v>311</v>
      </c>
      <c r="G135" s="31" t="s">
        <v>312</v>
      </c>
      <c r="H135" s="3" t="s">
        <v>313</v>
      </c>
      <c r="I135" s="51">
        <f>I124-SUM(I125:I132)</f>
        <v>77</v>
      </c>
      <c r="K135" s="289" t="s">
        <v>844</v>
      </c>
      <c r="L135" s="217" t="s">
        <v>253</v>
      </c>
      <c r="M135" s="267" t="s">
        <v>518</v>
      </c>
      <c r="N135" s="290">
        <f>I158*1000/D73</f>
        <v>8.908235294117647</v>
      </c>
      <c r="O135" s="280"/>
      <c r="P135" s="296"/>
    </row>
    <row r="136" spans="1:16" ht="45" x14ac:dyDescent="0.25">
      <c r="A136" s="138"/>
      <c r="B136" s="23" t="s">
        <v>203</v>
      </c>
      <c r="C136" s="23" t="s">
        <v>941</v>
      </c>
      <c r="D136" s="303">
        <v>5</v>
      </c>
      <c r="K136" s="228" t="s">
        <v>845</v>
      </c>
      <c r="L136" s="216" t="s">
        <v>707</v>
      </c>
      <c r="M136" s="148" t="s">
        <v>658</v>
      </c>
      <c r="N136" s="292">
        <f>1000*I162/D78</f>
        <v>3.3422624434389143</v>
      </c>
      <c r="O136" s="23"/>
      <c r="P136" s="293"/>
    </row>
    <row r="137" spans="1:16" ht="30" x14ac:dyDescent="0.25">
      <c r="A137" s="139" t="s">
        <v>204</v>
      </c>
      <c r="B137" s="32" t="s">
        <v>205</v>
      </c>
      <c r="C137" s="32" t="s">
        <v>206</v>
      </c>
      <c r="D137" s="250">
        <f>D132+D133-D134-D135-D136</f>
        <v>2386</v>
      </c>
      <c r="F137" s="39" t="s">
        <v>36</v>
      </c>
      <c r="G137" s="27" t="s">
        <v>37</v>
      </c>
      <c r="H137" s="27" t="s">
        <v>10</v>
      </c>
      <c r="I137" s="40" t="s">
        <v>59</v>
      </c>
      <c r="K137" s="297" t="s">
        <v>846</v>
      </c>
      <c r="L137" s="215" t="s">
        <v>707</v>
      </c>
      <c r="M137" s="255" t="s">
        <v>659</v>
      </c>
      <c r="N137" s="262" t="str">
        <f>IFERROR(1000*(I161/D76+I162/D78),"-")</f>
        <v>-</v>
      </c>
      <c r="O137" s="136"/>
      <c r="P137" s="251"/>
    </row>
    <row r="138" spans="1:16" ht="30.75" thickBot="1" x14ac:dyDescent="0.3">
      <c r="A138" s="280"/>
      <c r="B138" s="136" t="s">
        <v>718</v>
      </c>
      <c r="C138" s="136" t="s">
        <v>721</v>
      </c>
      <c r="D138" s="125">
        <v>150</v>
      </c>
      <c r="F138" s="47" t="s">
        <v>167</v>
      </c>
      <c r="G138" s="20" t="s">
        <v>168</v>
      </c>
      <c r="H138" s="20" t="s">
        <v>169</v>
      </c>
      <c r="I138" s="44">
        <f>I133+$I$135*D151/$D$150</f>
        <v>19.087058823529411</v>
      </c>
      <c r="K138" s="220" t="s">
        <v>847</v>
      </c>
      <c r="L138" s="221" t="s">
        <v>707</v>
      </c>
      <c r="M138" s="272" t="s">
        <v>660</v>
      </c>
      <c r="N138" s="223">
        <f>N135+N136</f>
        <v>12.250497737556561</v>
      </c>
      <c r="O138" s="298"/>
      <c r="P138" s="299"/>
    </row>
    <row r="139" spans="1:16" ht="45.75" thickBot="1" x14ac:dyDescent="0.3">
      <c r="A139" s="138"/>
      <c r="B139" s="23" t="s">
        <v>931</v>
      </c>
      <c r="C139" s="23" t="s">
        <v>736</v>
      </c>
      <c r="D139" s="62">
        <v>60</v>
      </c>
      <c r="E139" s="14"/>
      <c r="F139" s="41" t="s">
        <v>171</v>
      </c>
      <c r="G139" s="2" t="s">
        <v>172</v>
      </c>
      <c r="H139" s="2" t="s">
        <v>173</v>
      </c>
      <c r="I139" s="42">
        <f>I126+I135*D143/D150</f>
        <v>26.305882352941175</v>
      </c>
      <c r="K139" s="23"/>
      <c r="L139" s="23"/>
      <c r="M139" s="23"/>
      <c r="N139" s="23"/>
      <c r="O139" s="23"/>
      <c r="P139" s="23"/>
    </row>
    <row r="140" spans="1:16" ht="46.5" x14ac:dyDescent="0.35">
      <c r="A140" s="138"/>
      <c r="B140" s="23" t="s">
        <v>207</v>
      </c>
      <c r="C140" s="23" t="s">
        <v>940</v>
      </c>
      <c r="D140" s="62">
        <v>10</v>
      </c>
      <c r="E140" s="14"/>
      <c r="F140" s="41" t="s">
        <v>176</v>
      </c>
      <c r="G140" s="2" t="s">
        <v>177</v>
      </c>
      <c r="H140" s="2" t="s">
        <v>178</v>
      </c>
      <c r="I140" s="42">
        <f>I127+I135*D144/D150</f>
        <v>28.117647058823529</v>
      </c>
      <c r="K140" s="284" t="s">
        <v>155</v>
      </c>
      <c r="L140" s="300"/>
      <c r="M140" s="285"/>
      <c r="N140" s="286"/>
      <c r="O140" s="23"/>
      <c r="P140" s="23"/>
    </row>
    <row r="141" spans="1:16" ht="30" x14ac:dyDescent="0.25">
      <c r="A141" s="138" t="s">
        <v>210</v>
      </c>
      <c r="B141" s="34" t="s">
        <v>211</v>
      </c>
      <c r="C141" s="34" t="s">
        <v>212</v>
      </c>
      <c r="D141" s="63">
        <f>D137-D139-D140</f>
        <v>2316</v>
      </c>
      <c r="E141" s="35"/>
      <c r="F141" s="41" t="s">
        <v>181</v>
      </c>
      <c r="G141" s="2" t="s">
        <v>588</v>
      </c>
      <c r="H141" s="2" t="s">
        <v>529</v>
      </c>
      <c r="I141" s="42">
        <f>I134+$I$135*D152/$D$150</f>
        <v>12.724705882352941</v>
      </c>
      <c r="K141" s="301" t="s">
        <v>894</v>
      </c>
      <c r="L141" s="208" t="s">
        <v>683</v>
      </c>
      <c r="M141" s="255" t="s">
        <v>36</v>
      </c>
      <c r="N141" s="257" t="s">
        <v>11</v>
      </c>
      <c r="O141" s="23"/>
      <c r="P141" s="23"/>
    </row>
    <row r="142" spans="1:16" ht="45.75" thickBot="1" x14ac:dyDescent="0.3">
      <c r="A142" s="281"/>
      <c r="B142" s="113" t="s">
        <v>213</v>
      </c>
      <c r="C142" s="113" t="s">
        <v>531</v>
      </c>
      <c r="D142" s="48">
        <v>50</v>
      </c>
      <c r="E142" s="35"/>
      <c r="F142" s="41" t="s">
        <v>184</v>
      </c>
      <c r="G142" s="2" t="s">
        <v>589</v>
      </c>
      <c r="H142" s="2" t="s">
        <v>552</v>
      </c>
      <c r="I142" s="42">
        <f>I128+I135*D145/D150</f>
        <v>13.623529411764705</v>
      </c>
      <c r="K142" s="213" t="s">
        <v>557</v>
      </c>
      <c r="L142" s="165" t="s">
        <v>709</v>
      </c>
      <c r="M142" s="272" t="s">
        <v>691</v>
      </c>
      <c r="N142" s="302">
        <f>1000*D131/D72</f>
        <v>5</v>
      </c>
      <c r="O142" s="23"/>
      <c r="P142" s="23"/>
    </row>
    <row r="143" spans="1:16" ht="45" x14ac:dyDescent="0.25">
      <c r="A143" s="138"/>
      <c r="B143" s="23" t="s">
        <v>217</v>
      </c>
      <c r="C143" s="23" t="s">
        <v>218</v>
      </c>
      <c r="D143" s="49">
        <v>450</v>
      </c>
      <c r="E143" s="35"/>
      <c r="F143" s="41" t="s">
        <v>187</v>
      </c>
      <c r="G143" s="2" t="s">
        <v>590</v>
      </c>
      <c r="H143" s="2" t="s">
        <v>553</v>
      </c>
      <c r="I143" s="164">
        <f>I129+I135*D146/D150</f>
        <v>0.3623529411764706</v>
      </c>
    </row>
    <row r="144" spans="1:16" ht="30" x14ac:dyDescent="0.25">
      <c r="A144" s="236"/>
      <c r="B144" s="23" t="s">
        <v>220</v>
      </c>
      <c r="C144" s="23" t="s">
        <v>221</v>
      </c>
      <c r="D144" s="49">
        <v>500</v>
      </c>
      <c r="E144" s="35"/>
      <c r="F144" s="41" t="s">
        <v>190</v>
      </c>
      <c r="G144" s="2" t="s">
        <v>654</v>
      </c>
      <c r="H144" s="2" t="s">
        <v>655</v>
      </c>
      <c r="I144" s="110">
        <f>I130+$I$135*D147/$D$150</f>
        <v>17.247058823529411</v>
      </c>
    </row>
    <row r="145" spans="1:9" ht="30" x14ac:dyDescent="0.25">
      <c r="A145" s="236"/>
      <c r="B145" s="23" t="s">
        <v>593</v>
      </c>
      <c r="C145" s="23" t="s">
        <v>555</v>
      </c>
      <c r="D145" s="49">
        <v>100</v>
      </c>
      <c r="E145" s="35"/>
      <c r="F145" s="41" t="s">
        <v>194</v>
      </c>
      <c r="G145" s="2" t="s">
        <v>191</v>
      </c>
      <c r="H145" s="2" t="s">
        <v>192</v>
      </c>
      <c r="I145" s="110">
        <f>I131+$I$135*D148/$D$150</f>
        <v>2.5435294117647058</v>
      </c>
    </row>
    <row r="146" spans="1:9" ht="30" x14ac:dyDescent="0.25">
      <c r="A146" s="236"/>
      <c r="B146" s="23" t="s">
        <v>594</v>
      </c>
      <c r="C146" s="23" t="s">
        <v>570</v>
      </c>
      <c r="D146" s="49">
        <v>10</v>
      </c>
      <c r="E146" s="37"/>
      <c r="F146" s="41" t="s">
        <v>214</v>
      </c>
      <c r="G146" s="2" t="s">
        <v>195</v>
      </c>
      <c r="H146" s="2" t="s">
        <v>196</v>
      </c>
      <c r="I146" s="111">
        <f>I132+$I$135*D149/$D$150</f>
        <v>58.988235294117644</v>
      </c>
    </row>
    <row r="147" spans="1:9" x14ac:dyDescent="0.25">
      <c r="A147" s="23"/>
      <c r="B147" s="23" t="s">
        <v>646</v>
      </c>
      <c r="C147" s="23" t="s">
        <v>647</v>
      </c>
      <c r="D147" s="49">
        <v>200</v>
      </c>
      <c r="E147" s="37"/>
      <c r="F147" s="22"/>
      <c r="G147" s="3"/>
      <c r="H147" s="81" t="s">
        <v>200</v>
      </c>
      <c r="I147" s="82">
        <f>SUM(I138:I146)-I124</f>
        <v>0</v>
      </c>
    </row>
    <row r="148" spans="1:9" x14ac:dyDescent="0.25">
      <c r="A148" s="138"/>
      <c r="B148" s="23" t="s">
        <v>225</v>
      </c>
      <c r="C148" s="23" t="s">
        <v>226</v>
      </c>
      <c r="D148" s="62">
        <v>15</v>
      </c>
    </row>
    <row r="149" spans="1:9" x14ac:dyDescent="0.25">
      <c r="A149" s="138"/>
      <c r="B149" s="23" t="s">
        <v>228</v>
      </c>
      <c r="C149" s="23" t="s">
        <v>229</v>
      </c>
      <c r="D149" s="62">
        <v>800</v>
      </c>
      <c r="E149" s="36"/>
      <c r="F149" s="39" t="s">
        <v>36</v>
      </c>
      <c r="G149" s="27" t="s">
        <v>37</v>
      </c>
      <c r="H149" s="27" t="s">
        <v>10</v>
      </c>
      <c r="I149" s="40" t="s">
        <v>59</v>
      </c>
    </row>
    <row r="150" spans="1:9" x14ac:dyDescent="0.25">
      <c r="A150" s="139" t="s">
        <v>232</v>
      </c>
      <c r="B150" s="32" t="s">
        <v>233</v>
      </c>
      <c r="C150" s="32" t="s">
        <v>234</v>
      </c>
      <c r="D150" s="51">
        <f>SUM(D142:D149)</f>
        <v>2125</v>
      </c>
      <c r="F150" s="47" t="s">
        <v>219</v>
      </c>
      <c r="G150" s="2" t="s">
        <v>208</v>
      </c>
      <c r="H150" s="20" t="s">
        <v>209</v>
      </c>
      <c r="I150" s="60">
        <f>D151+I138+D176-D174</f>
        <v>50.287058823529414</v>
      </c>
    </row>
    <row r="151" spans="1:9" x14ac:dyDescent="0.25">
      <c r="A151" s="137" t="s">
        <v>246</v>
      </c>
      <c r="B151" s="225" t="s">
        <v>305</v>
      </c>
      <c r="C151" s="113" t="s">
        <v>306</v>
      </c>
      <c r="D151" s="109">
        <f>D142*D67/D69</f>
        <v>30</v>
      </c>
      <c r="E151" s="38"/>
      <c r="F151" s="41" t="s">
        <v>230</v>
      </c>
      <c r="G151" s="2" t="s">
        <v>591</v>
      </c>
      <c r="H151" s="2" t="s">
        <v>530</v>
      </c>
      <c r="I151" s="57">
        <f>D152+I141+D177-D175</f>
        <v>33.52470588235294</v>
      </c>
    </row>
    <row r="152" spans="1:9" x14ac:dyDescent="0.25">
      <c r="A152" s="139" t="s">
        <v>249</v>
      </c>
      <c r="B152" s="32" t="s">
        <v>597</v>
      </c>
      <c r="C152" s="136" t="s">
        <v>532</v>
      </c>
      <c r="D152" s="52">
        <f>D142*D68/D69</f>
        <v>20</v>
      </c>
      <c r="F152" s="41" t="s">
        <v>235</v>
      </c>
      <c r="G152" s="2" t="s">
        <v>215</v>
      </c>
      <c r="H152" s="2" t="s">
        <v>216</v>
      </c>
      <c r="I152" s="57">
        <f>D143+I139+D166-D158</f>
        <v>526.30588235294113</v>
      </c>
    </row>
    <row r="153" spans="1:9" ht="45" x14ac:dyDescent="0.25">
      <c r="A153" s="138"/>
      <c r="B153" s="23" t="s">
        <v>236</v>
      </c>
      <c r="C153" s="79" t="s">
        <v>237</v>
      </c>
      <c r="D153" s="49">
        <v>100</v>
      </c>
      <c r="F153" s="50" t="s">
        <v>222</v>
      </c>
      <c r="G153" s="3" t="s">
        <v>592</v>
      </c>
      <c r="H153" s="3" t="s">
        <v>554</v>
      </c>
      <c r="I153" s="51">
        <f>D145+I142+D168-D160</f>
        <v>213.62352941176471</v>
      </c>
    </row>
    <row r="154" spans="1:9" x14ac:dyDescent="0.25">
      <c r="A154" s="138"/>
      <c r="B154" s="23" t="s">
        <v>241</v>
      </c>
      <c r="C154" s="23" t="s">
        <v>242</v>
      </c>
      <c r="D154" s="49">
        <v>30</v>
      </c>
    </row>
    <row r="155" spans="1:9" x14ac:dyDescent="0.25">
      <c r="A155" s="138" t="s">
        <v>279</v>
      </c>
      <c r="B155" s="34" t="s">
        <v>247</v>
      </c>
      <c r="C155" s="34" t="s">
        <v>248</v>
      </c>
      <c r="D155" s="55">
        <f>D150+D153+D154</f>
        <v>2255</v>
      </c>
      <c r="F155" s="39" t="s">
        <v>36</v>
      </c>
      <c r="G155" s="27" t="s">
        <v>37</v>
      </c>
      <c r="H155" s="27" t="s">
        <v>10</v>
      </c>
      <c r="I155" s="40" t="s">
        <v>59</v>
      </c>
    </row>
    <row r="156" spans="1:9" s="23" customFormat="1" ht="30" x14ac:dyDescent="0.25">
      <c r="A156" s="282" t="s">
        <v>282</v>
      </c>
      <c r="B156" s="32" t="s">
        <v>250</v>
      </c>
      <c r="C156" s="32" t="s">
        <v>708</v>
      </c>
      <c r="D156" s="52">
        <f>D137-D155</f>
        <v>131</v>
      </c>
      <c r="E156" s="2"/>
      <c r="F156" s="41" t="s">
        <v>227</v>
      </c>
      <c r="G156" s="2" t="s">
        <v>223</v>
      </c>
      <c r="H156" s="2" t="s">
        <v>224</v>
      </c>
      <c r="I156" s="63">
        <f>I150+I152</f>
        <v>576.5929411764705</v>
      </c>
    </row>
    <row r="157" spans="1:9" x14ac:dyDescent="0.25">
      <c r="A157" s="23"/>
      <c r="B157" s="23" t="s">
        <v>251</v>
      </c>
      <c r="C157" s="23" t="s">
        <v>252</v>
      </c>
      <c r="D157" s="49">
        <v>0</v>
      </c>
      <c r="F157" s="41" t="s">
        <v>238</v>
      </c>
      <c r="G157" s="2" t="s">
        <v>595</v>
      </c>
      <c r="H157" s="2" t="s">
        <v>556</v>
      </c>
      <c r="I157" s="63">
        <f>I151+I153</f>
        <v>247.14823529411765</v>
      </c>
    </row>
    <row r="158" spans="1:9" x14ac:dyDescent="0.25">
      <c r="A158" s="23"/>
      <c r="B158" s="23" t="s">
        <v>254</v>
      </c>
      <c r="C158" s="23" t="s">
        <v>255</v>
      </c>
      <c r="D158" s="49">
        <v>250</v>
      </c>
      <c r="F158" s="41" t="s">
        <v>243</v>
      </c>
      <c r="G158" s="2" t="s">
        <v>656</v>
      </c>
      <c r="H158" s="2" t="s">
        <v>657</v>
      </c>
      <c r="I158" s="63">
        <f>D147+I144+D170-D162</f>
        <v>267.24705882352941</v>
      </c>
    </row>
    <row r="159" spans="1:9" x14ac:dyDescent="0.25">
      <c r="A159" s="23"/>
      <c r="B159" s="23" t="s">
        <v>257</v>
      </c>
      <c r="C159" s="23" t="s">
        <v>258</v>
      </c>
      <c r="D159" s="49">
        <v>200</v>
      </c>
      <c r="F159" s="41" t="s">
        <v>256</v>
      </c>
      <c r="G159" s="2" t="s">
        <v>467</v>
      </c>
      <c r="H159" s="2" t="s">
        <v>231</v>
      </c>
      <c r="I159" s="63">
        <f>D144+I140+D167-D159</f>
        <v>328.11764705882354</v>
      </c>
    </row>
    <row r="160" spans="1:9" ht="30" x14ac:dyDescent="0.25">
      <c r="B160" s="2" t="s">
        <v>598</v>
      </c>
      <c r="C160" s="2" t="s">
        <v>945</v>
      </c>
      <c r="D160" s="49">
        <v>100</v>
      </c>
      <c r="F160" s="41" t="s">
        <v>259</v>
      </c>
      <c r="G160" s="2" t="s">
        <v>596</v>
      </c>
      <c r="H160" s="2" t="s">
        <v>571</v>
      </c>
      <c r="I160" s="63">
        <f>D146+I143+D169-D161</f>
        <v>10.362352941176471</v>
      </c>
    </row>
    <row r="161" spans="1:9" x14ac:dyDescent="0.25">
      <c r="B161" s="2" t="s">
        <v>599</v>
      </c>
      <c r="C161" s="2" t="s">
        <v>572</v>
      </c>
      <c r="D161" s="49">
        <v>0</v>
      </c>
      <c r="F161" s="41" t="s">
        <v>260</v>
      </c>
      <c r="G161" s="2" t="s">
        <v>239</v>
      </c>
      <c r="H161" s="2" t="s">
        <v>240</v>
      </c>
      <c r="I161" s="283">
        <f>D148+I145+D171-D163</f>
        <v>17.543529411764705</v>
      </c>
    </row>
    <row r="162" spans="1:9" x14ac:dyDescent="0.25">
      <c r="B162" s="2" t="s">
        <v>648</v>
      </c>
      <c r="C162" s="2" t="s">
        <v>649</v>
      </c>
      <c r="D162" s="49">
        <v>100</v>
      </c>
      <c r="F162" s="50" t="s">
        <v>261</v>
      </c>
      <c r="G162" s="3" t="s">
        <v>244</v>
      </c>
      <c r="H162" s="3" t="s">
        <v>245</v>
      </c>
      <c r="I162" s="250">
        <f>D149+I146+D172-D164</f>
        <v>868.98823529411766</v>
      </c>
    </row>
    <row r="163" spans="1:9" x14ac:dyDescent="0.25">
      <c r="A163" s="26"/>
      <c r="B163" s="74" t="s">
        <v>262</v>
      </c>
      <c r="C163" s="74" t="s">
        <v>263</v>
      </c>
      <c r="D163" s="49">
        <v>0</v>
      </c>
    </row>
    <row r="164" spans="1:9" x14ac:dyDescent="0.25">
      <c r="A164" s="80"/>
      <c r="B164" s="85" t="s">
        <v>265</v>
      </c>
      <c r="C164" s="85" t="s">
        <v>266</v>
      </c>
      <c r="D164" s="53">
        <v>0</v>
      </c>
      <c r="E164" s="38"/>
    </row>
    <row r="165" spans="1:9" x14ac:dyDescent="0.25">
      <c r="A165" s="26"/>
      <c r="B165" s="74" t="s">
        <v>267</v>
      </c>
      <c r="C165" s="79" t="s">
        <v>268</v>
      </c>
      <c r="D165" s="49">
        <v>2</v>
      </c>
    </row>
    <row r="166" spans="1:9" x14ac:dyDescent="0.25">
      <c r="A166" s="26"/>
      <c r="B166" s="74" t="s">
        <v>269</v>
      </c>
      <c r="C166" s="79" t="s">
        <v>270</v>
      </c>
      <c r="D166" s="49">
        <v>300</v>
      </c>
    </row>
    <row r="167" spans="1:9" x14ac:dyDescent="0.25">
      <c r="A167" s="26"/>
      <c r="B167" s="74" t="s">
        <v>271</v>
      </c>
      <c r="C167" s="79" t="s">
        <v>272</v>
      </c>
      <c r="D167" s="49">
        <v>0</v>
      </c>
    </row>
    <row r="168" spans="1:9" x14ac:dyDescent="0.25">
      <c r="A168" s="26"/>
      <c r="B168" s="74" t="s">
        <v>600</v>
      </c>
      <c r="C168" s="74" t="s">
        <v>558</v>
      </c>
      <c r="D168" s="49">
        <v>200</v>
      </c>
    </row>
    <row r="169" spans="1:9" x14ac:dyDescent="0.25">
      <c r="B169" s="2" t="s">
        <v>601</v>
      </c>
      <c r="C169" s="2" t="s">
        <v>573</v>
      </c>
      <c r="D169" s="49">
        <v>0</v>
      </c>
    </row>
    <row r="170" spans="1:9" x14ac:dyDescent="0.25">
      <c r="A170" s="26"/>
      <c r="B170" s="74" t="s">
        <v>650</v>
      </c>
      <c r="C170" s="74" t="s">
        <v>651</v>
      </c>
      <c r="D170" s="49">
        <v>150</v>
      </c>
    </row>
    <row r="171" spans="1:9" x14ac:dyDescent="0.25">
      <c r="A171" s="26"/>
      <c r="B171" s="74" t="s">
        <v>275</v>
      </c>
      <c r="C171" s="79" t="s">
        <v>276</v>
      </c>
      <c r="D171" s="49">
        <v>0</v>
      </c>
    </row>
    <row r="172" spans="1:9" x14ac:dyDescent="0.25">
      <c r="A172" s="80"/>
      <c r="B172" s="85" t="s">
        <v>277</v>
      </c>
      <c r="C172" s="167" t="s">
        <v>278</v>
      </c>
      <c r="D172" s="53">
        <v>10</v>
      </c>
      <c r="E172" s="23"/>
    </row>
    <row r="173" spans="1:9" ht="30" x14ac:dyDescent="0.25">
      <c r="A173" s="80" t="s">
        <v>285</v>
      </c>
      <c r="B173" s="31" t="s">
        <v>280</v>
      </c>
      <c r="C173" s="32" t="s">
        <v>737</v>
      </c>
      <c r="D173" s="52">
        <f>SUM(D157:D164)-SUM(D165:D172)-D139-D140</f>
        <v>-82</v>
      </c>
    </row>
    <row r="174" spans="1:9" x14ac:dyDescent="0.25">
      <c r="A174" s="137" t="s">
        <v>287</v>
      </c>
      <c r="B174" s="113" t="s">
        <v>283</v>
      </c>
      <c r="C174" s="113" t="s">
        <v>284</v>
      </c>
      <c r="D174" s="109">
        <f>D67/(D67+D68)*D157</f>
        <v>0</v>
      </c>
    </row>
    <row r="175" spans="1:9" x14ac:dyDescent="0.25">
      <c r="A175" s="138" t="s">
        <v>290</v>
      </c>
      <c r="B175" s="23" t="s">
        <v>602</v>
      </c>
      <c r="C175" s="23" t="s">
        <v>533</v>
      </c>
      <c r="D175" s="55">
        <f>D157*D68/D69</f>
        <v>0</v>
      </c>
    </row>
    <row r="176" spans="1:9" x14ac:dyDescent="0.25">
      <c r="A176" s="138" t="s">
        <v>291</v>
      </c>
      <c r="B176" s="23" t="s">
        <v>288</v>
      </c>
      <c r="C176" s="23" t="s">
        <v>289</v>
      </c>
      <c r="D176" s="55">
        <f>D165*D67/D69</f>
        <v>1.2</v>
      </c>
    </row>
    <row r="177" spans="1:16" x14ac:dyDescent="0.25">
      <c r="A177" s="139" t="s">
        <v>304</v>
      </c>
      <c r="B177" s="136" t="s">
        <v>603</v>
      </c>
      <c r="C177" s="136" t="s">
        <v>534</v>
      </c>
      <c r="D177" s="52">
        <f>D165*D68/D69</f>
        <v>0.8</v>
      </c>
    </row>
    <row r="179" spans="1:16" x14ac:dyDescent="0.25">
      <c r="A179" s="6"/>
      <c r="B179" s="6"/>
      <c r="C179" s="6"/>
      <c r="D179" s="6"/>
      <c r="E179" s="6"/>
      <c r="F179" s="6"/>
      <c r="G179" s="6"/>
      <c r="H179" s="6"/>
      <c r="I179" s="6"/>
      <c r="J179" s="6"/>
      <c r="K179" s="6"/>
      <c r="L179" s="6"/>
      <c r="M179" s="6"/>
      <c r="N179" s="6"/>
      <c r="O179" s="6"/>
      <c r="P179" s="6"/>
    </row>
    <row r="180" spans="1:16" ht="21.75" thickBot="1" x14ac:dyDescent="0.4">
      <c r="A180" s="61" t="s">
        <v>738</v>
      </c>
      <c r="C180" s="10"/>
      <c r="D180" s="3"/>
      <c r="E180" s="17"/>
    </row>
    <row r="181" spans="1:16" ht="21" x14ac:dyDescent="0.35">
      <c r="A181" s="39" t="s">
        <v>36</v>
      </c>
      <c r="B181" s="27" t="s">
        <v>37</v>
      </c>
      <c r="C181" s="27" t="s">
        <v>10</v>
      </c>
      <c r="D181" s="40" t="s">
        <v>59</v>
      </c>
      <c r="E181" s="17"/>
      <c r="F181" s="58" t="s">
        <v>36</v>
      </c>
      <c r="G181" s="25" t="s">
        <v>37</v>
      </c>
      <c r="H181" s="25" t="s">
        <v>10</v>
      </c>
      <c r="I181" s="59" t="s">
        <v>59</v>
      </c>
      <c r="K181" s="224" t="s">
        <v>155</v>
      </c>
      <c r="L181" s="127"/>
      <c r="M181" s="127"/>
      <c r="N181" s="127"/>
      <c r="O181" s="127"/>
      <c r="P181" s="214"/>
    </row>
    <row r="182" spans="1:16" ht="15" customHeight="1" x14ac:dyDescent="0.25">
      <c r="A182" s="76"/>
      <c r="B182" s="4"/>
      <c r="C182" s="28" t="s">
        <v>696</v>
      </c>
      <c r="D182" s="59"/>
      <c r="E182" s="17"/>
      <c r="F182" s="47"/>
      <c r="G182" s="20"/>
      <c r="H182" s="83" t="s">
        <v>911</v>
      </c>
      <c r="I182" s="65"/>
      <c r="K182" s="361" t="s">
        <v>920</v>
      </c>
      <c r="L182" s="362"/>
      <c r="M182" s="362"/>
      <c r="N182" s="362"/>
      <c r="O182" s="362"/>
      <c r="P182" s="363"/>
    </row>
    <row r="183" spans="1:16" ht="30" customHeight="1" x14ac:dyDescent="0.25">
      <c r="A183" s="26"/>
      <c r="B183" s="2" t="s">
        <v>521</v>
      </c>
      <c r="C183" s="2" t="s">
        <v>710</v>
      </c>
      <c r="D183" s="62">
        <v>2985</v>
      </c>
      <c r="F183" s="41"/>
      <c r="G183" s="2" t="s">
        <v>777</v>
      </c>
      <c r="H183" s="23" t="s">
        <v>778</v>
      </c>
      <c r="I183" s="62">
        <v>3</v>
      </c>
      <c r="K183" s="364" t="s">
        <v>921</v>
      </c>
      <c r="L183" s="365"/>
      <c r="M183" s="365"/>
      <c r="N183" s="365"/>
      <c r="O183" s="365"/>
      <c r="P183" s="366"/>
    </row>
    <row r="184" spans="1:16" ht="30" x14ac:dyDescent="0.25">
      <c r="A184" s="26"/>
      <c r="B184" s="2" t="s">
        <v>314</v>
      </c>
      <c r="C184" s="2" t="s">
        <v>315</v>
      </c>
      <c r="D184" s="62">
        <v>30</v>
      </c>
      <c r="F184" s="21"/>
      <c r="G184" s="23" t="s">
        <v>912</v>
      </c>
      <c r="H184" s="23" t="s">
        <v>914</v>
      </c>
      <c r="I184" s="62">
        <v>6</v>
      </c>
      <c r="K184" s="313"/>
      <c r="L184" s="253"/>
      <c r="M184" s="148" t="s">
        <v>892</v>
      </c>
      <c r="N184" s="218" t="s">
        <v>892</v>
      </c>
      <c r="O184" s="148" t="s">
        <v>893</v>
      </c>
      <c r="P184" s="209" t="s">
        <v>893</v>
      </c>
    </row>
    <row r="185" spans="1:16" ht="30" x14ac:dyDescent="0.25">
      <c r="A185" s="26"/>
      <c r="B185" s="2" t="s">
        <v>316</v>
      </c>
      <c r="C185" s="2" t="s">
        <v>317</v>
      </c>
      <c r="D185" s="62">
        <v>10</v>
      </c>
      <c r="E185" s="13"/>
      <c r="F185" s="41"/>
      <c r="G185" s="23" t="s">
        <v>913</v>
      </c>
      <c r="H185" s="23" t="s">
        <v>915</v>
      </c>
      <c r="I185" s="62">
        <v>2</v>
      </c>
      <c r="K185" s="288" t="s">
        <v>837</v>
      </c>
      <c r="L185" s="215" t="s">
        <v>683</v>
      </c>
      <c r="M185" s="255" t="s">
        <v>36</v>
      </c>
      <c r="N185" s="256" t="s">
        <v>11</v>
      </c>
      <c r="O185" s="255" t="s">
        <v>36</v>
      </c>
      <c r="P185" s="257" t="s">
        <v>11</v>
      </c>
    </row>
    <row r="186" spans="1:16" ht="30" x14ac:dyDescent="0.25">
      <c r="A186" s="26" t="s">
        <v>321</v>
      </c>
      <c r="B186" s="30" t="s">
        <v>322</v>
      </c>
      <c r="C186" s="30" t="s">
        <v>323</v>
      </c>
      <c r="D186" s="55">
        <f>D183+D184-D185</f>
        <v>3005</v>
      </c>
      <c r="F186" s="138" t="s">
        <v>330</v>
      </c>
      <c r="G186" s="34" t="s">
        <v>909</v>
      </c>
      <c r="H186" s="34" t="s">
        <v>910</v>
      </c>
      <c r="I186" s="63">
        <f>I183+I184+I185</f>
        <v>11</v>
      </c>
      <c r="K186" s="294" t="s">
        <v>839</v>
      </c>
      <c r="L186" s="215" t="s">
        <v>706</v>
      </c>
      <c r="M186" s="255" t="s">
        <v>750</v>
      </c>
      <c r="N186" s="262">
        <f>I190*1000/D80</f>
        <v>12.353846153846154</v>
      </c>
      <c r="O186" s="255" t="s">
        <v>800</v>
      </c>
      <c r="P186" s="263">
        <f>I216*1000/D80</f>
        <v>0.64615384615384619</v>
      </c>
    </row>
    <row r="187" spans="1:16" ht="30" x14ac:dyDescent="0.25">
      <c r="A187" s="26"/>
      <c r="C187" s="30" t="s">
        <v>324</v>
      </c>
      <c r="D187" s="66">
        <f>D186-D190-D203</f>
        <v>0</v>
      </c>
      <c r="F187" s="50"/>
      <c r="G187" s="3" t="s">
        <v>714</v>
      </c>
      <c r="H187" s="3" t="s">
        <v>715</v>
      </c>
      <c r="I187" s="125">
        <v>2</v>
      </c>
      <c r="K187" s="228" t="s">
        <v>840</v>
      </c>
      <c r="L187" s="216" t="s">
        <v>253</v>
      </c>
      <c r="M187" s="148" t="s">
        <v>751</v>
      </c>
      <c r="N187" s="260">
        <f>I206*1000/D71</f>
        <v>4.4145446583044974</v>
      </c>
      <c r="O187" s="148" t="s">
        <v>801</v>
      </c>
      <c r="P187" s="261">
        <f>I217*1000/D71</f>
        <v>0.41199999999999998</v>
      </c>
    </row>
    <row r="188" spans="1:16" ht="30" x14ac:dyDescent="0.25">
      <c r="A188" s="58"/>
      <c r="B188" s="25"/>
      <c r="C188" s="83" t="s">
        <v>325</v>
      </c>
      <c r="D188" s="59"/>
      <c r="F188" s="26"/>
      <c r="I188" s="192"/>
      <c r="J188" s="188"/>
      <c r="K188" s="228" t="s">
        <v>877</v>
      </c>
      <c r="L188" s="216" t="s">
        <v>253</v>
      </c>
      <c r="M188" s="148" t="s">
        <v>791</v>
      </c>
      <c r="N188" s="260" t="str">
        <f>IFERROR(1000*I209/D74,"-")</f>
        <v>-</v>
      </c>
      <c r="O188" s="148" t="s">
        <v>802</v>
      </c>
      <c r="P188" s="261" t="str">
        <f>IFERROR(1000*I220/D74,"-")</f>
        <v>-</v>
      </c>
    </row>
    <row r="189" spans="1:16" ht="30" x14ac:dyDescent="0.25">
      <c r="B189" s="2" t="s">
        <v>661</v>
      </c>
      <c r="C189" s="2" t="s">
        <v>662</v>
      </c>
      <c r="D189" s="62">
        <v>300</v>
      </c>
      <c r="F189" s="39" t="s">
        <v>36</v>
      </c>
      <c r="G189" s="27" t="s">
        <v>37</v>
      </c>
      <c r="H189" s="27" t="s">
        <v>10</v>
      </c>
      <c r="I189" s="40" t="s">
        <v>59</v>
      </c>
      <c r="K189" s="294" t="s">
        <v>874</v>
      </c>
      <c r="L189" s="215" t="s">
        <v>253</v>
      </c>
      <c r="M189" s="255" t="s">
        <v>792</v>
      </c>
      <c r="N189" s="262" t="str">
        <f>IFERROR(1000*(I206/D71+I209/D74),"-")</f>
        <v>-</v>
      </c>
      <c r="O189" s="255" t="s">
        <v>803</v>
      </c>
      <c r="P189" s="263" t="str">
        <f>IFERROR(1000*(I217/D71+I220/D74),"-")</f>
        <v>-</v>
      </c>
    </row>
    <row r="190" spans="1:16" x14ac:dyDescent="0.25">
      <c r="A190" s="138"/>
      <c r="B190" s="23" t="s">
        <v>329</v>
      </c>
      <c r="C190" s="23" t="s">
        <v>749</v>
      </c>
      <c r="D190" s="62">
        <v>3005</v>
      </c>
      <c r="F190" s="249" t="s">
        <v>335</v>
      </c>
      <c r="G190" s="84" t="s">
        <v>319</v>
      </c>
      <c r="H190" s="85" t="s">
        <v>320</v>
      </c>
      <c r="I190" s="309">
        <f>D201+D214+D221-I186</f>
        <v>3212</v>
      </c>
      <c r="K190" s="228" t="s">
        <v>842</v>
      </c>
      <c r="L190" s="216" t="s">
        <v>253</v>
      </c>
      <c r="M190" s="148" t="s">
        <v>793</v>
      </c>
      <c r="N190" s="260">
        <f>I207*1000/D72</f>
        <v>5.8343667099192622</v>
      </c>
      <c r="O190" s="148" t="s">
        <v>804</v>
      </c>
      <c r="P190" s="261">
        <f>I218*1000/D72</f>
        <v>0.88666666666666671</v>
      </c>
    </row>
    <row r="191" spans="1:16" ht="30" x14ac:dyDescent="0.25">
      <c r="A191" s="248"/>
      <c r="B191" s="23" t="s">
        <v>333</v>
      </c>
      <c r="C191" s="23" t="s">
        <v>334</v>
      </c>
      <c r="D191" s="62">
        <v>0</v>
      </c>
      <c r="F191" s="23"/>
      <c r="I191" s="23"/>
      <c r="K191" s="228" t="s">
        <v>878</v>
      </c>
      <c r="L191" s="216" t="s">
        <v>253</v>
      </c>
      <c r="M191" s="148" t="s">
        <v>794</v>
      </c>
      <c r="N191" s="260" t="str">
        <f>IFERROR(1000*I210/D75,"-")</f>
        <v>-</v>
      </c>
      <c r="O191" s="148" t="s">
        <v>805</v>
      </c>
      <c r="P191" s="261" t="str">
        <f>IFERROR(1000*I221/D75,"-")</f>
        <v>-</v>
      </c>
    </row>
    <row r="192" spans="1:16" ht="30" x14ac:dyDescent="0.25">
      <c r="A192" s="248"/>
      <c r="B192" s="23" t="s">
        <v>336</v>
      </c>
      <c r="C192" s="23" t="s">
        <v>337</v>
      </c>
      <c r="D192" s="62">
        <v>0</v>
      </c>
      <c r="F192" s="277" t="s">
        <v>36</v>
      </c>
      <c r="G192" s="27" t="s">
        <v>37</v>
      </c>
      <c r="H192" s="27" t="s">
        <v>10</v>
      </c>
      <c r="I192" s="311" t="s">
        <v>59</v>
      </c>
      <c r="K192" s="294" t="s">
        <v>886</v>
      </c>
      <c r="L192" s="215" t="s">
        <v>253</v>
      </c>
      <c r="M192" s="255" t="s">
        <v>795</v>
      </c>
      <c r="N192" s="262" t="str">
        <f>IFERROR(1000*(I207/D72+I210/D75),"-")</f>
        <v>-</v>
      </c>
      <c r="O192" s="255" t="s">
        <v>806</v>
      </c>
      <c r="P192" s="263" t="str">
        <f>IFERROR(1000*(I218/D72+I221/D75),"-")</f>
        <v>-</v>
      </c>
    </row>
    <row r="193" spans="1:16" ht="30" x14ac:dyDescent="0.25">
      <c r="A193" s="138"/>
      <c r="B193" s="23" t="s">
        <v>339</v>
      </c>
      <c r="C193" s="23" t="s">
        <v>340</v>
      </c>
      <c r="D193" s="62">
        <v>30</v>
      </c>
      <c r="F193" s="137" t="s">
        <v>338</v>
      </c>
      <c r="G193" s="20" t="s">
        <v>327</v>
      </c>
      <c r="H193" s="20" t="s">
        <v>328</v>
      </c>
      <c r="I193" s="109">
        <f>D201*I156/(D141-(D131-D135))</f>
        <v>809.50893166089952</v>
      </c>
      <c r="K193" s="294" t="s">
        <v>844</v>
      </c>
      <c r="L193" s="215" t="s">
        <v>253</v>
      </c>
      <c r="M193" s="255" t="s">
        <v>796</v>
      </c>
      <c r="N193" s="314">
        <f>1000*I208/D73</f>
        <v>12.506736591695502</v>
      </c>
      <c r="O193" s="255" t="s">
        <v>807</v>
      </c>
      <c r="P193" s="315">
        <f>1000*I219/D73</f>
        <v>0</v>
      </c>
    </row>
    <row r="194" spans="1:16" ht="30" x14ac:dyDescent="0.25">
      <c r="A194" s="138"/>
      <c r="B194" s="23" t="s">
        <v>341</v>
      </c>
      <c r="C194" s="23" t="s">
        <v>366</v>
      </c>
      <c r="D194" s="62">
        <v>20</v>
      </c>
      <c r="F194" s="138" t="s">
        <v>345</v>
      </c>
      <c r="G194" s="2" t="s">
        <v>607</v>
      </c>
      <c r="H194" s="2" t="s">
        <v>561</v>
      </c>
      <c r="I194" s="55">
        <f>D201*(I157-(D131-D135))/(D141-(D131-D135))</f>
        <v>150.43100129757786</v>
      </c>
      <c r="K194" s="228" t="s">
        <v>845</v>
      </c>
      <c r="L194" s="216" t="s">
        <v>707</v>
      </c>
      <c r="M194" s="148" t="s">
        <v>797</v>
      </c>
      <c r="N194" s="316">
        <f>1000*I212/D78</f>
        <v>4.7885305762576529</v>
      </c>
      <c r="O194" s="148" t="s">
        <v>879</v>
      </c>
      <c r="P194" s="317">
        <f>1000*I223/D78</f>
        <v>9.6153846153846159E-2</v>
      </c>
    </row>
    <row r="195" spans="1:16" ht="30" x14ac:dyDescent="0.25">
      <c r="A195" s="282" t="s">
        <v>342</v>
      </c>
      <c r="B195" s="32" t="s">
        <v>343</v>
      </c>
      <c r="C195" s="32" t="s">
        <v>344</v>
      </c>
      <c r="D195" s="52">
        <f>SUM(D189:D194)</f>
        <v>3355</v>
      </c>
      <c r="F195" s="138" t="s">
        <v>349</v>
      </c>
      <c r="G195" s="2" t="s">
        <v>665</v>
      </c>
      <c r="H195" s="2" t="s">
        <v>666</v>
      </c>
      <c r="I195" s="55">
        <f>D201*I158/(D141-(D131-D135))</f>
        <v>375.20209775086505</v>
      </c>
      <c r="K195" s="294" t="s">
        <v>846</v>
      </c>
      <c r="L195" s="215" t="s">
        <v>707</v>
      </c>
      <c r="M195" s="255" t="s">
        <v>798</v>
      </c>
      <c r="N195" s="371" t="str">
        <f>IFERROR(1000*(I211/D76+I212/D78),"-")</f>
        <v>-</v>
      </c>
      <c r="O195" s="255" t="s">
        <v>880</v>
      </c>
      <c r="P195" s="372" t="str">
        <f>IFERROR(1000*(I222/D76+I223/D78),"-")</f>
        <v>-</v>
      </c>
    </row>
    <row r="196" spans="1:16" ht="60.75" thickBot="1" x14ac:dyDescent="0.3">
      <c r="A196" s="138"/>
      <c r="B196" s="23" t="s">
        <v>348</v>
      </c>
      <c r="C196" s="23" t="s">
        <v>938</v>
      </c>
      <c r="D196" s="171">
        <v>0.85</v>
      </c>
      <c r="F196" s="138" t="s">
        <v>354</v>
      </c>
      <c r="G196" s="2" t="s">
        <v>331</v>
      </c>
      <c r="H196" s="2" t="s">
        <v>332</v>
      </c>
      <c r="I196" s="55">
        <f>D201*I159/(D141-(D131-D135))</f>
        <v>460.66149437716263</v>
      </c>
      <c r="K196" s="220" t="s">
        <v>847</v>
      </c>
      <c r="L196" s="221" t="s">
        <v>707</v>
      </c>
      <c r="M196" s="272" t="s">
        <v>799</v>
      </c>
      <c r="N196" s="227">
        <f>1000*(I208/D73+I212/D78)</f>
        <v>17.295267167953156</v>
      </c>
      <c r="O196" s="272" t="s">
        <v>881</v>
      </c>
      <c r="P196" s="226">
        <f>1000*(I219/D73+I223/D78)</f>
        <v>9.6153846153846159E-2</v>
      </c>
    </row>
    <row r="197" spans="1:16" ht="30" x14ac:dyDescent="0.25">
      <c r="A197" s="248" t="s">
        <v>350</v>
      </c>
      <c r="B197" s="34" t="s">
        <v>932</v>
      </c>
      <c r="C197" s="34" t="s">
        <v>742</v>
      </c>
      <c r="D197" s="63">
        <f>IFERROR(D134/D196,"0")</f>
        <v>117.64705882352942</v>
      </c>
      <c r="E197" s="14"/>
      <c r="F197" s="138" t="s">
        <v>357</v>
      </c>
      <c r="G197" s="2" t="s">
        <v>608</v>
      </c>
      <c r="H197" s="2" t="s">
        <v>562</v>
      </c>
      <c r="I197" s="55">
        <f>D201*I160/(D141-(D131-D135))</f>
        <v>14.548248269896195</v>
      </c>
    </row>
    <row r="198" spans="1:16" ht="30" x14ac:dyDescent="0.25">
      <c r="A198" s="282" t="s">
        <v>351</v>
      </c>
      <c r="B198" s="32" t="s">
        <v>734</v>
      </c>
      <c r="C198" s="32" t="s">
        <v>939</v>
      </c>
      <c r="D198" s="318">
        <f>IFERROR(D136/D196,"0")</f>
        <v>5.882352941176471</v>
      </c>
      <c r="E198" s="14"/>
      <c r="F198" s="138" t="s">
        <v>359</v>
      </c>
      <c r="G198" s="74" t="s">
        <v>479</v>
      </c>
      <c r="H198" s="74" t="s">
        <v>486</v>
      </c>
      <c r="I198" s="55">
        <f>D201*I161/(D141-(D131-D135))</f>
        <v>24.630276816608994</v>
      </c>
    </row>
    <row r="199" spans="1:16" ht="45" x14ac:dyDescent="0.25">
      <c r="A199" s="304"/>
      <c r="B199" s="113" t="s">
        <v>725</v>
      </c>
      <c r="C199" s="113" t="s">
        <v>719</v>
      </c>
      <c r="D199" s="69">
        <v>0.85</v>
      </c>
      <c r="E199" s="14"/>
      <c r="F199" s="139" t="s">
        <v>362</v>
      </c>
      <c r="G199" s="85" t="s">
        <v>480</v>
      </c>
      <c r="H199" s="85" t="s">
        <v>485</v>
      </c>
      <c r="I199" s="52">
        <f>D201*I162/(D141-(D131-D135))</f>
        <v>1220.0179498269897</v>
      </c>
    </row>
    <row r="200" spans="1:16" x14ac:dyDescent="0.25">
      <c r="A200" s="282" t="s">
        <v>368</v>
      </c>
      <c r="B200" s="32" t="s">
        <v>916</v>
      </c>
      <c r="C200" s="32" t="s">
        <v>739</v>
      </c>
      <c r="D200" s="52">
        <f>IFERROR(D138/D199,"0")</f>
        <v>176.47058823529412</v>
      </c>
      <c r="F200" s="23"/>
      <c r="I200" s="23"/>
    </row>
    <row r="201" spans="1:16" x14ac:dyDescent="0.25">
      <c r="A201" s="282" t="s">
        <v>370</v>
      </c>
      <c r="B201" s="32" t="s">
        <v>352</v>
      </c>
      <c r="C201" s="32" t="s">
        <v>353</v>
      </c>
      <c r="D201" s="250">
        <f>D195-D197-D198-D200</f>
        <v>3055</v>
      </c>
      <c r="F201" s="277" t="s">
        <v>36</v>
      </c>
      <c r="G201" s="27" t="s">
        <v>37</v>
      </c>
      <c r="H201" s="27" t="s">
        <v>10</v>
      </c>
      <c r="I201" s="311" t="s">
        <v>59</v>
      </c>
    </row>
    <row r="202" spans="1:16" ht="30" x14ac:dyDescent="0.25">
      <c r="A202" s="137"/>
      <c r="B202" s="113"/>
      <c r="C202" s="83" t="s">
        <v>473</v>
      </c>
      <c r="D202" s="65"/>
      <c r="E202" s="14"/>
      <c r="F202" s="138" t="s">
        <v>364</v>
      </c>
      <c r="G202" s="2" t="s">
        <v>346</v>
      </c>
      <c r="H202" s="2" t="s">
        <v>347</v>
      </c>
      <c r="I202" s="55">
        <f>D222*D67/D69</f>
        <v>32.4</v>
      </c>
      <c r="J202" s="188"/>
    </row>
    <row r="203" spans="1:16" ht="30" x14ac:dyDescent="0.25">
      <c r="A203" s="138"/>
      <c r="B203" s="23" t="s">
        <v>356</v>
      </c>
      <c r="C203" s="23" t="s">
        <v>749</v>
      </c>
      <c r="D203" s="62">
        <v>0</v>
      </c>
      <c r="E203" s="14"/>
      <c r="F203" s="139" t="s">
        <v>367</v>
      </c>
      <c r="G203" s="3" t="s">
        <v>609</v>
      </c>
      <c r="H203" s="3" t="s">
        <v>536</v>
      </c>
      <c r="I203" s="52">
        <f>D222*D68/D69</f>
        <v>21.6</v>
      </c>
    </row>
    <row r="204" spans="1:16" x14ac:dyDescent="0.25">
      <c r="A204" s="248"/>
      <c r="B204" s="23" t="s">
        <v>358</v>
      </c>
      <c r="C204" s="23" t="s">
        <v>334</v>
      </c>
      <c r="D204" s="62">
        <v>30</v>
      </c>
      <c r="F204" s="23"/>
      <c r="I204" s="23"/>
    </row>
    <row r="205" spans="1:16" x14ac:dyDescent="0.25">
      <c r="A205" s="248"/>
      <c r="B205" s="23" t="s">
        <v>361</v>
      </c>
      <c r="C205" s="23" t="s">
        <v>337</v>
      </c>
      <c r="D205" s="62">
        <v>0</v>
      </c>
      <c r="F205" s="277" t="s">
        <v>36</v>
      </c>
      <c r="G205" s="27" t="s">
        <v>37</v>
      </c>
      <c r="H205" s="27" t="s">
        <v>10</v>
      </c>
      <c r="I205" s="311" t="s">
        <v>59</v>
      </c>
      <c r="J205" s="190"/>
    </row>
    <row r="206" spans="1:16" x14ac:dyDescent="0.25">
      <c r="A206" s="138"/>
      <c r="B206" s="23" t="s">
        <v>363</v>
      </c>
      <c r="C206" s="23" t="s">
        <v>340</v>
      </c>
      <c r="D206" s="62">
        <v>10</v>
      </c>
      <c r="F206" s="137" t="s">
        <v>372</v>
      </c>
      <c r="G206" s="20" t="s">
        <v>355</v>
      </c>
      <c r="H206" s="20" t="s">
        <v>487</v>
      </c>
      <c r="I206" s="109">
        <f>I193+D209+I202+D223-I183-I184</f>
        <v>882.9089316608995</v>
      </c>
    </row>
    <row r="207" spans="1:16" x14ac:dyDescent="0.25">
      <c r="A207" s="138"/>
      <c r="B207" s="23" t="s">
        <v>365</v>
      </c>
      <c r="C207" s="23" t="s">
        <v>366</v>
      </c>
      <c r="D207" s="62">
        <v>55</v>
      </c>
      <c r="F207" s="138" t="s">
        <v>376</v>
      </c>
      <c r="G207" s="2" t="s">
        <v>610</v>
      </c>
      <c r="H207" s="2" t="s">
        <v>563</v>
      </c>
      <c r="I207" s="55">
        <f>I194+D210+I203+D224-I185</f>
        <v>175.03100129757786</v>
      </c>
    </row>
    <row r="208" spans="1:16" x14ac:dyDescent="0.25">
      <c r="A208" s="248" t="s">
        <v>395</v>
      </c>
      <c r="B208" s="34" t="s">
        <v>369</v>
      </c>
      <c r="C208" s="34" t="s">
        <v>903</v>
      </c>
      <c r="D208" s="63">
        <f>SUM(D203:D207)</f>
        <v>95</v>
      </c>
      <c r="F208" s="138" t="s">
        <v>381</v>
      </c>
      <c r="G208" s="2" t="s">
        <v>667</v>
      </c>
      <c r="H208" s="2" t="s">
        <v>668</v>
      </c>
      <c r="I208" s="55">
        <f>I195+D225</f>
        <v>375.20209775086505</v>
      </c>
    </row>
    <row r="209" spans="1:11" ht="30" x14ac:dyDescent="0.25">
      <c r="A209" s="23"/>
      <c r="B209" s="23" t="s">
        <v>779</v>
      </c>
      <c r="C209" s="23" t="s">
        <v>470</v>
      </c>
      <c r="D209" s="62">
        <v>50</v>
      </c>
      <c r="F209" s="312" t="s">
        <v>386</v>
      </c>
      <c r="G209" s="2" t="s">
        <v>360</v>
      </c>
      <c r="H209" s="2" t="s">
        <v>488</v>
      </c>
      <c r="I209" s="64">
        <f>I196+D211+D226</f>
        <v>492.66149437716263</v>
      </c>
    </row>
    <row r="210" spans="1:11" ht="30" x14ac:dyDescent="0.25">
      <c r="A210" s="23"/>
      <c r="B210" s="23" t="s">
        <v>780</v>
      </c>
      <c r="C210" s="23" t="s">
        <v>625</v>
      </c>
      <c r="D210" s="62">
        <v>5</v>
      </c>
      <c r="F210" s="312" t="s">
        <v>390</v>
      </c>
      <c r="G210" s="2" t="s">
        <v>611</v>
      </c>
      <c r="H210" s="2" t="s">
        <v>574</v>
      </c>
      <c r="I210" s="64">
        <f>I197+D212+D227</f>
        <v>15.548248269896195</v>
      </c>
    </row>
    <row r="211" spans="1:11" ht="30" x14ac:dyDescent="0.25">
      <c r="A211" s="248"/>
      <c r="B211" s="23" t="s">
        <v>471</v>
      </c>
      <c r="C211" s="23" t="s">
        <v>472</v>
      </c>
      <c r="D211" s="49">
        <v>20</v>
      </c>
      <c r="F211" s="138" t="s">
        <v>400</v>
      </c>
      <c r="G211" s="74" t="s">
        <v>481</v>
      </c>
      <c r="H211" s="74" t="s">
        <v>489</v>
      </c>
      <c r="I211" s="57">
        <f>I198+D228</f>
        <v>25.630276816608994</v>
      </c>
    </row>
    <row r="212" spans="1:11" ht="30" x14ac:dyDescent="0.25">
      <c r="A212" s="248"/>
      <c r="B212" s="23" t="s">
        <v>612</v>
      </c>
      <c r="C212" s="23" t="s">
        <v>537</v>
      </c>
      <c r="D212" s="62">
        <v>0</v>
      </c>
      <c r="F212" s="139" t="s">
        <v>401</v>
      </c>
      <c r="G212" s="85" t="s">
        <v>482</v>
      </c>
      <c r="H212" s="85" t="s">
        <v>490</v>
      </c>
      <c r="I212" s="51">
        <f>I199+D213+D229</f>
        <v>1245.0179498269897</v>
      </c>
    </row>
    <row r="213" spans="1:11" x14ac:dyDescent="0.25">
      <c r="A213" s="248"/>
      <c r="B213" s="23" t="s">
        <v>468</v>
      </c>
      <c r="C213" s="23" t="s">
        <v>469</v>
      </c>
      <c r="D213" s="49">
        <v>20</v>
      </c>
      <c r="J213" s="191"/>
      <c r="K213" s="14"/>
    </row>
    <row r="214" spans="1:11" x14ac:dyDescent="0.25">
      <c r="A214" s="248" t="s">
        <v>406</v>
      </c>
      <c r="B214" s="34" t="s">
        <v>369</v>
      </c>
      <c r="C214" s="34" t="s">
        <v>904</v>
      </c>
      <c r="D214" s="63">
        <f>SUM(D209:D213)</f>
        <v>95</v>
      </c>
      <c r="F214" s="341" t="s">
        <v>926</v>
      </c>
      <c r="G214" s="342"/>
      <c r="H214" s="342"/>
      <c r="I214" s="343"/>
      <c r="K214" s="14"/>
    </row>
    <row r="215" spans="1:11" x14ac:dyDescent="0.25">
      <c r="C215" s="2" t="s">
        <v>371</v>
      </c>
      <c r="D215" s="66">
        <f>D208-D214</f>
        <v>0</v>
      </c>
      <c r="F215" s="307" t="s">
        <v>36</v>
      </c>
      <c r="G215" s="208" t="s">
        <v>37</v>
      </c>
      <c r="H215" s="208" t="s">
        <v>10</v>
      </c>
      <c r="I215" s="222" t="s">
        <v>59</v>
      </c>
      <c r="K215" s="14"/>
    </row>
    <row r="216" spans="1:11" x14ac:dyDescent="0.25">
      <c r="A216" s="47"/>
      <c r="B216" s="20"/>
      <c r="C216" s="29" t="s">
        <v>375</v>
      </c>
      <c r="D216" s="67"/>
      <c r="F216" s="249" t="s">
        <v>404</v>
      </c>
      <c r="G216" s="280" t="s">
        <v>783</v>
      </c>
      <c r="H216" s="308" t="s">
        <v>320</v>
      </c>
      <c r="I216" s="309">
        <f>D214+D221</f>
        <v>168</v>
      </c>
      <c r="K216" s="14"/>
    </row>
    <row r="217" spans="1:11" x14ac:dyDescent="0.25">
      <c r="A217" s="41"/>
      <c r="B217" s="2" t="s">
        <v>379</v>
      </c>
      <c r="C217" s="2" t="s">
        <v>380</v>
      </c>
      <c r="D217" s="62">
        <v>10</v>
      </c>
      <c r="F217" s="138" t="s">
        <v>405</v>
      </c>
      <c r="G217" s="23" t="s">
        <v>788</v>
      </c>
      <c r="H217" s="23" t="s">
        <v>487</v>
      </c>
      <c r="I217" s="55">
        <f>D209+I202+D223</f>
        <v>82.4</v>
      </c>
    </row>
    <row r="218" spans="1:11" x14ac:dyDescent="0.25">
      <c r="A218" s="41"/>
      <c r="B218" s="2" t="s">
        <v>384</v>
      </c>
      <c r="C218" s="2" t="s">
        <v>385</v>
      </c>
      <c r="D218" s="62">
        <v>61</v>
      </c>
      <c r="F218" s="138" t="s">
        <v>408</v>
      </c>
      <c r="G218" s="23" t="s">
        <v>787</v>
      </c>
      <c r="H218" s="23" t="s">
        <v>563</v>
      </c>
      <c r="I218" s="55">
        <f>D210+I203+D224</f>
        <v>26.6</v>
      </c>
    </row>
    <row r="219" spans="1:11" x14ac:dyDescent="0.25">
      <c r="A219" s="41"/>
      <c r="B219" s="2" t="s">
        <v>388</v>
      </c>
      <c r="C219" s="2" t="s">
        <v>389</v>
      </c>
      <c r="D219" s="62">
        <v>1</v>
      </c>
      <c r="F219" s="138" t="s">
        <v>483</v>
      </c>
      <c r="G219" s="23" t="s">
        <v>789</v>
      </c>
      <c r="H219" s="23" t="s">
        <v>668</v>
      </c>
      <c r="I219" s="63">
        <f>D225</f>
        <v>0</v>
      </c>
    </row>
    <row r="220" spans="1:11" x14ac:dyDescent="0.25">
      <c r="A220" s="41"/>
      <c r="B220" s="2" t="s">
        <v>393</v>
      </c>
      <c r="C220" s="2" t="s">
        <v>394</v>
      </c>
      <c r="D220" s="62">
        <v>1</v>
      </c>
      <c r="F220" s="138" t="s">
        <v>484</v>
      </c>
      <c r="G220" s="23" t="s">
        <v>784</v>
      </c>
      <c r="H220" s="23" t="s">
        <v>488</v>
      </c>
      <c r="I220" s="55">
        <f>D211+D226</f>
        <v>32</v>
      </c>
    </row>
    <row r="221" spans="1:11" x14ac:dyDescent="0.25">
      <c r="A221" s="248" t="s">
        <v>318</v>
      </c>
      <c r="B221" s="30" t="s">
        <v>396</v>
      </c>
      <c r="C221" s="30" t="s">
        <v>397</v>
      </c>
      <c r="D221" s="63">
        <f>SUM(D217:D220)</f>
        <v>73</v>
      </c>
      <c r="F221" s="138" t="s">
        <v>519</v>
      </c>
      <c r="G221" s="23" t="s">
        <v>790</v>
      </c>
      <c r="H221" s="23" t="s">
        <v>574</v>
      </c>
      <c r="I221" s="55">
        <f>D212+D227</f>
        <v>1</v>
      </c>
    </row>
    <row r="222" spans="1:11" ht="30" x14ac:dyDescent="0.25">
      <c r="A222" s="138"/>
      <c r="B222" s="2" t="s">
        <v>398</v>
      </c>
      <c r="C222" s="2" t="s">
        <v>399</v>
      </c>
      <c r="D222" s="49">
        <v>54</v>
      </c>
      <c r="F222" s="138" t="s">
        <v>520</v>
      </c>
      <c r="G222" s="79" t="s">
        <v>785</v>
      </c>
      <c r="H222" s="79" t="s">
        <v>489</v>
      </c>
      <c r="I222" s="63">
        <f>D228</f>
        <v>1</v>
      </c>
    </row>
    <row r="223" spans="1:11" ht="30" x14ac:dyDescent="0.25">
      <c r="A223" s="23"/>
      <c r="B223" s="2" t="s">
        <v>781</v>
      </c>
      <c r="C223" s="2" t="s">
        <v>474</v>
      </c>
      <c r="D223" s="49">
        <v>0</v>
      </c>
      <c r="F223" s="139" t="s">
        <v>669</v>
      </c>
      <c r="G223" s="167" t="s">
        <v>786</v>
      </c>
      <c r="H223" s="167" t="s">
        <v>490</v>
      </c>
      <c r="I223" s="250">
        <f>D213+D229</f>
        <v>25</v>
      </c>
    </row>
    <row r="224" spans="1:11" ht="30" x14ac:dyDescent="0.25">
      <c r="A224" s="23"/>
      <c r="B224" s="2" t="s">
        <v>782</v>
      </c>
      <c r="C224" s="2" t="s">
        <v>564</v>
      </c>
      <c r="D224" s="49">
        <v>0</v>
      </c>
      <c r="F224" s="23"/>
      <c r="G224" s="23"/>
      <c r="H224" s="310"/>
      <c r="I224" s="23"/>
    </row>
    <row r="225" spans="1:16" ht="30" x14ac:dyDescent="0.25">
      <c r="A225" s="23"/>
      <c r="B225" s="2" t="s">
        <v>663</v>
      </c>
      <c r="C225" s="2" t="s">
        <v>664</v>
      </c>
      <c r="D225" s="49">
        <v>0</v>
      </c>
      <c r="F225" s="344" t="s">
        <v>925</v>
      </c>
      <c r="G225" s="345"/>
      <c r="H225" s="345"/>
      <c r="I225" s="346"/>
    </row>
    <row r="226" spans="1:16" ht="30" x14ac:dyDescent="0.25">
      <c r="A226" s="23"/>
      <c r="B226" s="2" t="s">
        <v>402</v>
      </c>
      <c r="C226" s="2" t="s">
        <v>403</v>
      </c>
      <c r="D226" s="49">
        <v>12</v>
      </c>
      <c r="F226" s="277" t="s">
        <v>36</v>
      </c>
      <c r="G226" s="278" t="s">
        <v>37</v>
      </c>
      <c r="H226" s="278" t="s">
        <v>10</v>
      </c>
      <c r="I226" s="311" t="s">
        <v>59</v>
      </c>
    </row>
    <row r="227" spans="1:16" ht="30" x14ac:dyDescent="0.25">
      <c r="A227" s="138"/>
      <c r="B227" s="2" t="s">
        <v>613</v>
      </c>
      <c r="C227" s="23" t="s">
        <v>711</v>
      </c>
      <c r="D227" s="62">
        <v>1</v>
      </c>
      <c r="F227" s="138" t="s">
        <v>670</v>
      </c>
      <c r="G227" s="79" t="s">
        <v>373</v>
      </c>
      <c r="H227" s="79" t="s">
        <v>374</v>
      </c>
      <c r="I227" s="78">
        <f>D183/D186</f>
        <v>0.99334442595673877</v>
      </c>
    </row>
    <row r="228" spans="1:16" ht="30" x14ac:dyDescent="0.25">
      <c r="A228" s="248"/>
      <c r="B228" s="2" t="s">
        <v>475</v>
      </c>
      <c r="C228" s="2" t="s">
        <v>476</v>
      </c>
      <c r="D228" s="62">
        <v>1</v>
      </c>
      <c r="F228" s="138" t="s">
        <v>671</v>
      </c>
      <c r="G228" s="79" t="s">
        <v>377</v>
      </c>
      <c r="H228" s="79" t="s">
        <v>378</v>
      </c>
      <c r="I228" s="55">
        <f>D195-I227*D190-D189</f>
        <v>70</v>
      </c>
    </row>
    <row r="229" spans="1:16" ht="30" x14ac:dyDescent="0.25">
      <c r="A229" s="248"/>
      <c r="B229" s="2" t="s">
        <v>477</v>
      </c>
      <c r="C229" s="2" t="s">
        <v>478</v>
      </c>
      <c r="D229" s="62">
        <v>5</v>
      </c>
      <c r="F229" s="138" t="s">
        <v>695</v>
      </c>
      <c r="G229" s="79" t="s">
        <v>382</v>
      </c>
      <c r="H229" s="79" t="s">
        <v>383</v>
      </c>
      <c r="I229" s="63">
        <f>I228-D197-D198-D200</f>
        <v>-230</v>
      </c>
    </row>
    <row r="230" spans="1:16" x14ac:dyDescent="0.25">
      <c r="A230" s="248" t="s">
        <v>326</v>
      </c>
      <c r="B230" s="30" t="s">
        <v>396</v>
      </c>
      <c r="C230" s="30" t="s">
        <v>407</v>
      </c>
      <c r="D230" s="63">
        <f>SUM(D222:D229)</f>
        <v>73</v>
      </c>
      <c r="F230" s="138" t="s">
        <v>720</v>
      </c>
      <c r="G230" s="79" t="s">
        <v>387</v>
      </c>
      <c r="H230" s="79" t="s">
        <v>905</v>
      </c>
      <c r="I230" s="63">
        <f>D208-I227*D203</f>
        <v>95</v>
      </c>
      <c r="J230" s="14"/>
    </row>
    <row r="231" spans="1:16" x14ac:dyDescent="0.25">
      <c r="A231" s="50"/>
      <c r="B231" s="3"/>
      <c r="C231" s="31" t="s">
        <v>371</v>
      </c>
      <c r="D231" s="66">
        <f>D221-D230</f>
        <v>0</v>
      </c>
      <c r="F231" s="139" t="s">
        <v>740</v>
      </c>
      <c r="G231" s="167" t="s">
        <v>391</v>
      </c>
      <c r="H231" s="167" t="s">
        <v>392</v>
      </c>
      <c r="I231" s="250">
        <f>I229+I230+D221-I186-I187</f>
        <v>-75</v>
      </c>
    </row>
    <row r="233" spans="1:16" x14ac:dyDescent="0.25">
      <c r="A233" s="6"/>
      <c r="B233" s="6"/>
      <c r="C233" s="193"/>
      <c r="D233" s="6"/>
      <c r="E233" s="6"/>
      <c r="F233" s="6"/>
      <c r="G233" s="6"/>
      <c r="H233" s="6"/>
      <c r="I233" s="6"/>
      <c r="J233" s="6"/>
      <c r="K233" s="6"/>
      <c r="L233" s="6"/>
      <c r="M233" s="6"/>
      <c r="N233" s="6"/>
      <c r="O233" s="6"/>
      <c r="P233" s="6"/>
    </row>
    <row r="234" spans="1:16" ht="21.75" thickBot="1" x14ac:dyDescent="0.4">
      <c r="A234" s="61" t="s">
        <v>409</v>
      </c>
      <c r="C234" s="3"/>
      <c r="D234" s="3"/>
    </row>
    <row r="235" spans="1:16" ht="21" x14ac:dyDescent="0.35">
      <c r="A235" s="39" t="s">
        <v>36</v>
      </c>
      <c r="B235" s="27" t="s">
        <v>37</v>
      </c>
      <c r="C235" s="27" t="s">
        <v>10</v>
      </c>
      <c r="D235" s="40" t="s">
        <v>59</v>
      </c>
      <c r="F235" s="39" t="s">
        <v>36</v>
      </c>
      <c r="G235" s="27" t="s">
        <v>37</v>
      </c>
      <c r="H235" s="27" t="s">
        <v>10</v>
      </c>
      <c r="I235" s="40" t="s">
        <v>59</v>
      </c>
      <c r="K235" s="224" t="s">
        <v>155</v>
      </c>
      <c r="L235" s="127"/>
      <c r="M235" s="127"/>
      <c r="N235" s="127"/>
      <c r="O235" s="127"/>
      <c r="P235" s="214"/>
    </row>
    <row r="236" spans="1:16" ht="15.75" x14ac:dyDescent="0.25">
      <c r="A236" s="319"/>
      <c r="B236" s="306"/>
      <c r="C236" s="83" t="s">
        <v>744</v>
      </c>
      <c r="D236" s="59"/>
      <c r="F236" s="249" t="s">
        <v>423</v>
      </c>
      <c r="G236" s="308" t="s">
        <v>414</v>
      </c>
      <c r="H236" s="308" t="s">
        <v>415</v>
      </c>
      <c r="I236" s="320">
        <f>D245+D249+D260</f>
        <v>172.77744659711874</v>
      </c>
      <c r="K236" s="361" t="s">
        <v>922</v>
      </c>
      <c r="L236" s="362"/>
      <c r="M236" s="362"/>
      <c r="N236" s="362"/>
      <c r="O236" s="362"/>
      <c r="P236" s="363"/>
    </row>
    <row r="237" spans="1:16" ht="15" customHeight="1" x14ac:dyDescent="0.25">
      <c r="A237" s="237"/>
      <c r="B237" s="23" t="s">
        <v>339</v>
      </c>
      <c r="C237" s="23" t="s">
        <v>340</v>
      </c>
      <c r="D237" s="68">
        <f>D193</f>
        <v>30</v>
      </c>
      <c r="F237" s="23"/>
      <c r="G237" s="23"/>
      <c r="H237" s="23"/>
      <c r="I237" s="23"/>
      <c r="K237" s="364" t="s">
        <v>923</v>
      </c>
      <c r="L237" s="365"/>
      <c r="M237" s="365"/>
      <c r="N237" s="365"/>
      <c r="O237" s="365"/>
      <c r="P237" s="366"/>
    </row>
    <row r="238" spans="1:16" x14ac:dyDescent="0.25">
      <c r="A238" s="237"/>
      <c r="B238" s="23" t="s">
        <v>341</v>
      </c>
      <c r="C238" s="23" t="s">
        <v>366</v>
      </c>
      <c r="D238" s="68">
        <f>D194</f>
        <v>20</v>
      </c>
      <c r="F238" s="277" t="s">
        <v>36</v>
      </c>
      <c r="G238" s="278" t="s">
        <v>37</v>
      </c>
      <c r="H238" s="278" t="s">
        <v>10</v>
      </c>
      <c r="I238" s="311" t="s">
        <v>59</v>
      </c>
      <c r="K238" s="313"/>
      <c r="L238" s="253"/>
      <c r="M238" s="148" t="s">
        <v>892</v>
      </c>
      <c r="N238" s="218" t="s">
        <v>892</v>
      </c>
      <c r="O238" s="148" t="s">
        <v>893</v>
      </c>
      <c r="P238" s="209" t="s">
        <v>893</v>
      </c>
    </row>
    <row r="239" spans="1:16" ht="30" x14ac:dyDescent="0.25">
      <c r="A239" s="248" t="s">
        <v>410</v>
      </c>
      <c r="B239" s="34" t="s">
        <v>411</v>
      </c>
      <c r="C239" s="34" t="s">
        <v>412</v>
      </c>
      <c r="D239" s="64">
        <f>D237+D238</f>
        <v>50</v>
      </c>
      <c r="F239" s="137" t="s">
        <v>426</v>
      </c>
      <c r="G239" s="321" t="s">
        <v>421</v>
      </c>
      <c r="H239" s="113" t="s">
        <v>422</v>
      </c>
      <c r="I239" s="322">
        <f>D245*I156/(D141-(D131-D135))</f>
        <v>12.130033351553996</v>
      </c>
      <c r="K239" s="288" t="s">
        <v>838</v>
      </c>
      <c r="L239" s="215" t="s">
        <v>683</v>
      </c>
      <c r="M239" s="255" t="s">
        <v>36</v>
      </c>
      <c r="N239" s="256" t="s">
        <v>11</v>
      </c>
      <c r="O239" s="255" t="s">
        <v>36</v>
      </c>
      <c r="P239" s="257" t="s">
        <v>11</v>
      </c>
    </row>
    <row r="240" spans="1:16" ht="75" x14ac:dyDescent="0.25">
      <c r="A240" s="248"/>
      <c r="B240" s="23" t="s">
        <v>906</v>
      </c>
      <c r="C240" s="23" t="s">
        <v>935</v>
      </c>
      <c r="D240" s="69">
        <v>0.9</v>
      </c>
      <c r="E240" s="14"/>
      <c r="F240" s="138" t="s">
        <v>427</v>
      </c>
      <c r="G240" s="23" t="s">
        <v>614</v>
      </c>
      <c r="H240" s="23" t="s">
        <v>565</v>
      </c>
      <c r="I240" s="164">
        <f>D245*(I157-(D131-D135))/(D141-(D131-D135))</f>
        <v>2.2541234463014628</v>
      </c>
      <c r="K240" s="228" t="s">
        <v>839</v>
      </c>
      <c r="L240" s="216" t="s">
        <v>706</v>
      </c>
      <c r="M240" s="148" t="s">
        <v>745</v>
      </c>
      <c r="N240" s="260">
        <f>I236*1000/D80</f>
        <v>0.66452864075814899</v>
      </c>
      <c r="O240" s="148" t="s">
        <v>828</v>
      </c>
      <c r="P240" s="261">
        <f>I262*1000/D80</f>
        <v>0.48846153846153845</v>
      </c>
    </row>
    <row r="241" spans="1:16" ht="30" x14ac:dyDescent="0.25">
      <c r="A241" s="248" t="s">
        <v>416</v>
      </c>
      <c r="B241" s="34" t="s">
        <v>933</v>
      </c>
      <c r="C241" s="34" t="s">
        <v>936</v>
      </c>
      <c r="D241" s="323">
        <f>IFERROR((D239/D195)*(D134/D240),0)</f>
        <v>1.6559032952475576</v>
      </c>
      <c r="E241" s="14"/>
      <c r="F241" s="138" t="s">
        <v>431</v>
      </c>
      <c r="G241" s="23" t="s">
        <v>674</v>
      </c>
      <c r="H241" s="23" t="s">
        <v>675</v>
      </c>
      <c r="I241" s="164">
        <f>D245*I158/(D141-(D131-D135))</f>
        <v>5.6221911597110132</v>
      </c>
      <c r="K241" s="228" t="s">
        <v>840</v>
      </c>
      <c r="L241" s="216" t="s">
        <v>253</v>
      </c>
      <c r="M241" s="148" t="s">
        <v>818</v>
      </c>
      <c r="N241" s="260">
        <f>I252*1000/D71</f>
        <v>0.25665016675776997</v>
      </c>
      <c r="O241" s="148" t="s">
        <v>829</v>
      </c>
      <c r="P241" s="261">
        <f>I263*1000/D71</f>
        <v>0.19600000000000001</v>
      </c>
    </row>
    <row r="242" spans="1:16" ht="30" x14ac:dyDescent="0.25">
      <c r="A242" s="282" t="s">
        <v>417</v>
      </c>
      <c r="B242" s="32" t="s">
        <v>743</v>
      </c>
      <c r="C242" s="32" t="s">
        <v>937</v>
      </c>
      <c r="D242" s="325">
        <f>IFERROR((D239/D195)*(D136/D240),0)</f>
        <v>8.2795164762377874E-2</v>
      </c>
      <c r="E242" s="14"/>
      <c r="F242" s="138" t="s">
        <v>436</v>
      </c>
      <c r="G242" s="23" t="s">
        <v>424</v>
      </c>
      <c r="H242" s="23" t="s">
        <v>425</v>
      </c>
      <c r="I242" s="164">
        <f>D245*I159/(D141-(D131-D135))</f>
        <v>6.9027518684777318</v>
      </c>
      <c r="J242" s="135"/>
      <c r="K242" s="228" t="s">
        <v>887</v>
      </c>
      <c r="L242" s="216" t="s">
        <v>253</v>
      </c>
      <c r="M242" s="148" t="s">
        <v>819</v>
      </c>
      <c r="N242" s="373" t="str">
        <f>IFERROR(1000*I255/D74,"-")</f>
        <v>-</v>
      </c>
      <c r="O242" s="148" t="s">
        <v>830</v>
      </c>
      <c r="P242" s="261" t="str">
        <f>IFERROR(1000*I266/D74,"-")</f>
        <v>-</v>
      </c>
    </row>
    <row r="243" spans="1:16" ht="45" x14ac:dyDescent="0.25">
      <c r="A243" s="23"/>
      <c r="B243" s="23" t="s">
        <v>723</v>
      </c>
      <c r="C243" s="23" t="s">
        <v>741</v>
      </c>
      <c r="D243" s="69">
        <v>0.9</v>
      </c>
      <c r="E243" s="14"/>
      <c r="F243" s="138" t="s">
        <v>439</v>
      </c>
      <c r="G243" s="23" t="s">
        <v>615</v>
      </c>
      <c r="H243" s="23" t="s">
        <v>566</v>
      </c>
      <c r="I243" s="164">
        <f>D245*I160/(D141-(D131-D135))</f>
        <v>0.2179972694784936</v>
      </c>
      <c r="K243" s="228" t="s">
        <v>841</v>
      </c>
      <c r="L243" s="216" t="s">
        <v>253</v>
      </c>
      <c r="M243" s="148" t="s">
        <v>820</v>
      </c>
      <c r="N243" s="260" t="str">
        <f>IFERROR(1000*(I252/D71+I255/D74),"-")</f>
        <v>-</v>
      </c>
      <c r="O243" s="148" t="s">
        <v>831</v>
      </c>
      <c r="P243" s="261" t="str">
        <f>IFERROR(1000*(I263/D71+I266/D74),"-")</f>
        <v>-</v>
      </c>
    </row>
    <row r="244" spans="1:16" ht="30" x14ac:dyDescent="0.25">
      <c r="A244" s="282" t="s">
        <v>428</v>
      </c>
      <c r="B244" s="32" t="s">
        <v>917</v>
      </c>
      <c r="C244" s="32" t="s">
        <v>722</v>
      </c>
      <c r="D244" s="324">
        <f>IFERROR((D239/D195)*(D138/D243),0)</f>
        <v>2.4838549428713361</v>
      </c>
      <c r="E244" s="169"/>
      <c r="F244" s="138" t="s">
        <v>444</v>
      </c>
      <c r="G244" s="79" t="s">
        <v>712</v>
      </c>
      <c r="H244" s="79" t="s">
        <v>500</v>
      </c>
      <c r="I244" s="323">
        <f>D245*I161/(D141-(D131-D135))</f>
        <v>0.36907076322244509</v>
      </c>
      <c r="K244" s="228" t="s">
        <v>842</v>
      </c>
      <c r="L244" s="216" t="s">
        <v>253</v>
      </c>
      <c r="M244" s="148" t="s">
        <v>821</v>
      </c>
      <c r="N244" s="260">
        <f>I253*1000/D72</f>
        <v>0.60180411487671537</v>
      </c>
      <c r="O244" s="148" t="s">
        <v>832</v>
      </c>
      <c r="P244" s="261">
        <f>I264*1000/D72</f>
        <v>0.52666666666666662</v>
      </c>
    </row>
    <row r="245" spans="1:16" ht="30" x14ac:dyDescent="0.25">
      <c r="A245" s="248" t="s">
        <v>434</v>
      </c>
      <c r="B245" s="34" t="s">
        <v>418</v>
      </c>
      <c r="C245" s="32" t="s">
        <v>419</v>
      </c>
      <c r="D245" s="250">
        <f>D239-D241-D242-D244</f>
        <v>45.777446597118725</v>
      </c>
      <c r="E245" s="169"/>
      <c r="F245" s="139" t="s">
        <v>447</v>
      </c>
      <c r="G245" s="167" t="s">
        <v>713</v>
      </c>
      <c r="H245" s="167" t="s">
        <v>501</v>
      </c>
      <c r="I245" s="324">
        <f>D245*I162/(D141-(D131-D135))</f>
        <v>18.28127873837358</v>
      </c>
      <c r="K245" s="228" t="s">
        <v>887</v>
      </c>
      <c r="L245" s="216" t="s">
        <v>253</v>
      </c>
      <c r="M245" s="148" t="s">
        <v>822</v>
      </c>
      <c r="N245" s="260" t="str">
        <f>IFERROR(1000*I256/D75,"-")</f>
        <v>-</v>
      </c>
      <c r="O245" s="148" t="s">
        <v>833</v>
      </c>
      <c r="P245" s="261" t="str">
        <f>IFERROR(1000*I267/D75,"-")</f>
        <v>-</v>
      </c>
    </row>
    <row r="246" spans="1:16" ht="30" x14ac:dyDescent="0.25">
      <c r="A246" s="305"/>
      <c r="B246" s="306"/>
      <c r="C246" s="83" t="s">
        <v>510</v>
      </c>
      <c r="D246" s="59"/>
      <c r="E246" s="13"/>
      <c r="F246" s="23"/>
      <c r="G246" s="23"/>
      <c r="H246" s="23"/>
      <c r="I246" s="23"/>
      <c r="J246" s="135"/>
      <c r="K246" s="228" t="s">
        <v>843</v>
      </c>
      <c r="L246" s="216" t="s">
        <v>253</v>
      </c>
      <c r="M246" s="148" t="s">
        <v>823</v>
      </c>
      <c r="N246" s="260" t="str">
        <f>IFERROR(1000*(I253/D72+I256/D75),"-")</f>
        <v>-</v>
      </c>
      <c r="O246" s="148" t="s">
        <v>834</v>
      </c>
      <c r="P246" s="261" t="str">
        <f>IFERROR(1000*(I264/D72+I267/D75),"-")</f>
        <v>-</v>
      </c>
    </row>
    <row r="247" spans="1:16" ht="15.75" x14ac:dyDescent="0.25">
      <c r="A247" s="248"/>
      <c r="B247" s="23" t="s">
        <v>363</v>
      </c>
      <c r="C247" s="23" t="s">
        <v>340</v>
      </c>
      <c r="D247" s="68">
        <f>D206</f>
        <v>10</v>
      </c>
      <c r="E247" s="13"/>
      <c r="F247" s="277" t="s">
        <v>36</v>
      </c>
      <c r="G247" s="278" t="s">
        <v>37</v>
      </c>
      <c r="H247" s="278" t="s">
        <v>10</v>
      </c>
      <c r="I247" s="311" t="s">
        <v>59</v>
      </c>
      <c r="J247" s="135"/>
      <c r="K247" s="228" t="s">
        <v>844</v>
      </c>
      <c r="L247" s="216" t="s">
        <v>253</v>
      </c>
      <c r="M247" s="148" t="s">
        <v>824</v>
      </c>
      <c r="N247" s="260">
        <f>I254*1000/D73</f>
        <v>0.25407303865703379</v>
      </c>
      <c r="O247" s="148" t="s">
        <v>888</v>
      </c>
      <c r="P247" s="261">
        <f>I265*1000/D73</f>
        <v>6.6666666666666666E-2</v>
      </c>
    </row>
    <row r="248" spans="1:16" ht="30" x14ac:dyDescent="0.25">
      <c r="A248" s="248"/>
      <c r="B248" s="23" t="s">
        <v>365</v>
      </c>
      <c r="C248" s="23" t="s">
        <v>366</v>
      </c>
      <c r="D248" s="68">
        <f>D207</f>
        <v>55</v>
      </c>
      <c r="E248" s="13"/>
      <c r="F248" s="138" t="s">
        <v>450</v>
      </c>
      <c r="G248" s="23" t="s">
        <v>432</v>
      </c>
      <c r="H248" s="23" t="s">
        <v>433</v>
      </c>
      <c r="I248" s="55">
        <f>D261*D67/D69</f>
        <v>13.2</v>
      </c>
      <c r="K248" s="228" t="s">
        <v>845</v>
      </c>
      <c r="L248" s="216" t="s">
        <v>707</v>
      </c>
      <c r="M248" s="148" t="s">
        <v>825</v>
      </c>
      <c r="N248" s="260">
        <f>1000*I258/D78</f>
        <v>0.17800491822451375</v>
      </c>
      <c r="O248" s="148" t="s">
        <v>889</v>
      </c>
      <c r="P248" s="295">
        <f>1000*I269/D78</f>
        <v>0.1076923076923077</v>
      </c>
    </row>
    <row r="249" spans="1:16" ht="30" x14ac:dyDescent="0.25">
      <c r="A249" s="248" t="s">
        <v>455</v>
      </c>
      <c r="B249" s="34" t="s">
        <v>429</v>
      </c>
      <c r="C249" s="34" t="s">
        <v>430</v>
      </c>
      <c r="D249" s="55">
        <f>D247+D248</f>
        <v>65</v>
      </c>
      <c r="E249" s="13"/>
      <c r="F249" s="139" t="s">
        <v>453</v>
      </c>
      <c r="G249" s="136" t="s">
        <v>616</v>
      </c>
      <c r="H249" s="136" t="s">
        <v>538</v>
      </c>
      <c r="I249" s="52">
        <f>D261*D68/D69</f>
        <v>8.8000000000000007</v>
      </c>
      <c r="K249" s="228" t="s">
        <v>846</v>
      </c>
      <c r="L249" s="216" t="s">
        <v>707</v>
      </c>
      <c r="M249" s="148" t="s">
        <v>826</v>
      </c>
      <c r="N249" s="260" t="str">
        <f>IFERROR(1000*(I257/D76+I258/D78),"-")</f>
        <v>-</v>
      </c>
      <c r="O249" s="148" t="s">
        <v>890</v>
      </c>
      <c r="P249" s="261" t="str">
        <f>IFERROR(1000*(I268/D76+I269/D78),"-")</f>
        <v>-</v>
      </c>
    </row>
    <row r="250" spans="1:16" ht="30.75" thickBot="1" x14ac:dyDescent="0.3">
      <c r="A250" s="23"/>
      <c r="B250" s="23" t="s">
        <v>816</v>
      </c>
      <c r="C250" s="23" t="s">
        <v>493</v>
      </c>
      <c r="D250" s="62">
        <v>25</v>
      </c>
      <c r="E250" s="13"/>
      <c r="F250" s="23"/>
      <c r="G250" s="23"/>
      <c r="H250" s="23"/>
      <c r="I250" s="23"/>
      <c r="K250" s="220" t="s">
        <v>847</v>
      </c>
      <c r="L250" s="221" t="s">
        <v>707</v>
      </c>
      <c r="M250" s="272" t="s">
        <v>827</v>
      </c>
      <c r="N250" s="374">
        <f>1000*(I254/D73+I258/D78)</f>
        <v>0.43207795688154754</v>
      </c>
      <c r="O250" s="272" t="s">
        <v>891</v>
      </c>
      <c r="P250" s="302">
        <f>1000*(I265/D73+I269/D78)</f>
        <v>0.17435897435897435</v>
      </c>
    </row>
    <row r="251" spans="1:16" ht="30" x14ac:dyDescent="0.25">
      <c r="A251" s="23"/>
      <c r="B251" s="23" t="s">
        <v>817</v>
      </c>
      <c r="C251" s="23" t="s">
        <v>626</v>
      </c>
      <c r="D251" s="62">
        <v>5</v>
      </c>
      <c r="E251" s="13"/>
      <c r="F251" s="277" t="s">
        <v>36</v>
      </c>
      <c r="G251" s="278" t="s">
        <v>37</v>
      </c>
      <c r="H251" s="278" t="s">
        <v>10</v>
      </c>
      <c r="I251" s="311" t="s">
        <v>59</v>
      </c>
    </row>
    <row r="252" spans="1:16" ht="30" x14ac:dyDescent="0.25">
      <c r="A252" s="248"/>
      <c r="B252" s="23" t="s">
        <v>491</v>
      </c>
      <c r="C252" s="23" t="s">
        <v>494</v>
      </c>
      <c r="D252" s="49">
        <v>15</v>
      </c>
      <c r="E252" s="13"/>
      <c r="F252" s="138" t="s">
        <v>454</v>
      </c>
      <c r="G252" s="23" t="s">
        <v>440</v>
      </c>
      <c r="H252" s="23" t="s">
        <v>441</v>
      </c>
      <c r="I252" s="166">
        <f>I239+D250+I248+D262</f>
        <v>51.330033351553993</v>
      </c>
    </row>
    <row r="253" spans="1:16" ht="30" x14ac:dyDescent="0.25">
      <c r="A253" s="248"/>
      <c r="B253" s="23" t="s">
        <v>617</v>
      </c>
      <c r="C253" s="23" t="s">
        <v>539</v>
      </c>
      <c r="D253" s="49">
        <v>0</v>
      </c>
      <c r="E253" s="13"/>
      <c r="F253" s="138" t="s">
        <v>460</v>
      </c>
      <c r="G253" s="23" t="s">
        <v>618</v>
      </c>
      <c r="H253" s="23" t="s">
        <v>567</v>
      </c>
      <c r="I253" s="166">
        <f>I240+D251+I249+D263</f>
        <v>18.054123446301464</v>
      </c>
    </row>
    <row r="254" spans="1:16" ht="15.75" x14ac:dyDescent="0.25">
      <c r="A254" s="248"/>
      <c r="B254" s="23" t="s">
        <v>492</v>
      </c>
      <c r="C254" s="23" t="s">
        <v>495</v>
      </c>
      <c r="D254" s="49">
        <v>20</v>
      </c>
      <c r="E254" s="13"/>
      <c r="F254" s="138" t="s">
        <v>461</v>
      </c>
      <c r="G254" s="23" t="s">
        <v>676</v>
      </c>
      <c r="H254" s="23" t="s">
        <v>677</v>
      </c>
      <c r="I254" s="166">
        <f>I241+D264</f>
        <v>7.6221911597110132</v>
      </c>
      <c r="J254" s="135"/>
    </row>
    <row r="255" spans="1:16" ht="15.75" x14ac:dyDescent="0.25">
      <c r="A255" s="248" t="s">
        <v>458</v>
      </c>
      <c r="B255" s="34" t="s">
        <v>429</v>
      </c>
      <c r="C255" s="34" t="s">
        <v>435</v>
      </c>
      <c r="D255" s="55">
        <f>SUM(D250:D254)</f>
        <v>65</v>
      </c>
      <c r="E255" s="13"/>
      <c r="F255" s="138" t="s">
        <v>462</v>
      </c>
      <c r="G255" s="23" t="s">
        <v>448</v>
      </c>
      <c r="H255" s="23" t="s">
        <v>449</v>
      </c>
      <c r="I255" s="166">
        <f>I242+D252+D265</f>
        <v>48.902751868477736</v>
      </c>
      <c r="J255" s="189"/>
    </row>
    <row r="256" spans="1:16" ht="15.75" x14ac:dyDescent="0.25">
      <c r="A256" s="282"/>
      <c r="B256" s="136"/>
      <c r="C256" s="32" t="s">
        <v>200</v>
      </c>
      <c r="D256" s="66">
        <f>D249-D255</f>
        <v>0</v>
      </c>
      <c r="E256" s="13"/>
      <c r="F256" s="138" t="s">
        <v>463</v>
      </c>
      <c r="G256" s="23" t="s">
        <v>619</v>
      </c>
      <c r="H256" s="23" t="s">
        <v>575</v>
      </c>
      <c r="I256" s="166">
        <f>I243+D253+D266</f>
        <v>0.2179972694784936</v>
      </c>
    </row>
    <row r="257" spans="1:16" ht="30" x14ac:dyDescent="0.25">
      <c r="A257" s="306"/>
      <c r="B257" s="306"/>
      <c r="C257" s="87" t="s">
        <v>437</v>
      </c>
      <c r="D257" s="70"/>
      <c r="E257" s="13"/>
      <c r="F257" s="138" t="s">
        <v>464</v>
      </c>
      <c r="G257" s="79" t="s">
        <v>502</v>
      </c>
      <c r="H257" s="79" t="s">
        <v>504</v>
      </c>
      <c r="I257" s="63">
        <f>I244+D267</f>
        <v>0.36907076322244509</v>
      </c>
    </row>
    <row r="258" spans="1:16" ht="15.75" x14ac:dyDescent="0.25">
      <c r="A258" s="148"/>
      <c r="B258" s="23" t="s">
        <v>384</v>
      </c>
      <c r="C258" s="23" t="s">
        <v>385</v>
      </c>
      <c r="D258" s="68">
        <f>D218</f>
        <v>61</v>
      </c>
      <c r="E258" s="13"/>
      <c r="F258" s="139" t="s">
        <v>506</v>
      </c>
      <c r="G258" s="167" t="s">
        <v>503</v>
      </c>
      <c r="H258" s="167" t="s">
        <v>505</v>
      </c>
      <c r="I258" s="250">
        <f>I245+D254+D268</f>
        <v>46.28127873837358</v>
      </c>
    </row>
    <row r="259" spans="1:16" ht="15.75" x14ac:dyDescent="0.25">
      <c r="A259" s="148"/>
      <c r="B259" s="23" t="s">
        <v>393</v>
      </c>
      <c r="C259" s="23" t="s">
        <v>438</v>
      </c>
      <c r="D259" s="68">
        <f>D220</f>
        <v>1</v>
      </c>
      <c r="E259" s="13"/>
      <c r="F259" s="23"/>
      <c r="G259" s="23"/>
      <c r="H259" s="23"/>
      <c r="I259" s="23"/>
    </row>
    <row r="260" spans="1:16" ht="15.75" x14ac:dyDescent="0.25">
      <c r="A260" s="248" t="s">
        <v>413</v>
      </c>
      <c r="B260" s="34" t="s">
        <v>456</v>
      </c>
      <c r="C260" s="34" t="s">
        <v>457</v>
      </c>
      <c r="D260" s="55">
        <f>D258+D259</f>
        <v>62</v>
      </c>
      <c r="E260" s="13"/>
      <c r="F260" s="341" t="s">
        <v>924</v>
      </c>
      <c r="G260" s="342"/>
      <c r="H260" s="342"/>
      <c r="I260" s="343"/>
    </row>
    <row r="261" spans="1:16" ht="30" x14ac:dyDescent="0.25">
      <c r="A261" s="23"/>
      <c r="B261" s="23" t="s">
        <v>442</v>
      </c>
      <c r="C261" s="23" t="s">
        <v>443</v>
      </c>
      <c r="D261" s="49">
        <v>22</v>
      </c>
      <c r="E261" s="13"/>
      <c r="F261" s="277" t="s">
        <v>36</v>
      </c>
      <c r="G261" s="278" t="s">
        <v>37</v>
      </c>
      <c r="H261" s="278" t="s">
        <v>10</v>
      </c>
      <c r="I261" s="311" t="s">
        <v>59</v>
      </c>
    </row>
    <row r="262" spans="1:16" ht="30" x14ac:dyDescent="0.25">
      <c r="A262" s="23"/>
      <c r="B262" s="23" t="s">
        <v>445</v>
      </c>
      <c r="C262" s="23" t="s">
        <v>446</v>
      </c>
      <c r="D262" s="49">
        <v>1</v>
      </c>
      <c r="E262" s="13"/>
      <c r="F262" s="249" t="s">
        <v>507</v>
      </c>
      <c r="G262" s="308" t="s">
        <v>808</v>
      </c>
      <c r="H262" s="308" t="s">
        <v>415</v>
      </c>
      <c r="I262" s="309">
        <f>D249+D260</f>
        <v>127</v>
      </c>
    </row>
    <row r="263" spans="1:16" ht="30" x14ac:dyDescent="0.25">
      <c r="A263" s="23"/>
      <c r="B263" s="23" t="s">
        <v>620</v>
      </c>
      <c r="C263" s="23" t="s">
        <v>568</v>
      </c>
      <c r="D263" s="49">
        <v>2</v>
      </c>
      <c r="E263" s="13"/>
      <c r="F263" s="138" t="s">
        <v>508</v>
      </c>
      <c r="G263" s="23" t="s">
        <v>809</v>
      </c>
      <c r="H263" s="23" t="s">
        <v>441</v>
      </c>
      <c r="I263" s="166">
        <f>I248+D250+D262</f>
        <v>39.200000000000003</v>
      </c>
    </row>
    <row r="264" spans="1:16" ht="30" x14ac:dyDescent="0.25">
      <c r="A264" s="23"/>
      <c r="B264" s="23" t="s">
        <v>672</v>
      </c>
      <c r="C264" s="23" t="s">
        <v>673</v>
      </c>
      <c r="D264" s="49">
        <v>2</v>
      </c>
      <c r="E264" s="13"/>
      <c r="F264" s="138" t="s">
        <v>509</v>
      </c>
      <c r="G264" s="23" t="s">
        <v>810</v>
      </c>
      <c r="H264" s="23" t="s">
        <v>567</v>
      </c>
      <c r="I264" s="166">
        <f>I249+D251+D263</f>
        <v>15.8</v>
      </c>
    </row>
    <row r="265" spans="1:16" ht="30" x14ac:dyDescent="0.25">
      <c r="A265" s="23"/>
      <c r="B265" s="23" t="s">
        <v>451</v>
      </c>
      <c r="C265" s="23" t="s">
        <v>452</v>
      </c>
      <c r="D265" s="49">
        <v>27</v>
      </c>
      <c r="E265" s="13"/>
      <c r="F265" s="138" t="s">
        <v>678</v>
      </c>
      <c r="G265" s="23" t="s">
        <v>811</v>
      </c>
      <c r="H265" s="23" t="s">
        <v>677</v>
      </c>
      <c r="I265" s="166">
        <f>D264</f>
        <v>2</v>
      </c>
    </row>
    <row r="266" spans="1:16" ht="30" x14ac:dyDescent="0.25">
      <c r="A266" s="23"/>
      <c r="B266" s="23" t="s">
        <v>621</v>
      </c>
      <c r="C266" s="23" t="s">
        <v>540</v>
      </c>
      <c r="D266" s="49">
        <v>0</v>
      </c>
      <c r="E266" s="13"/>
      <c r="F266" s="138" t="s">
        <v>679</v>
      </c>
      <c r="G266" s="23" t="s">
        <v>812</v>
      </c>
      <c r="H266" s="23" t="s">
        <v>449</v>
      </c>
      <c r="I266" s="166">
        <f>D252+D265</f>
        <v>42</v>
      </c>
      <c r="J266" s="189"/>
    </row>
    <row r="267" spans="1:16" ht="30" x14ac:dyDescent="0.25">
      <c r="A267" s="248"/>
      <c r="B267" s="23" t="s">
        <v>496</v>
      </c>
      <c r="C267" s="23" t="s">
        <v>497</v>
      </c>
      <c r="D267" s="49">
        <v>0</v>
      </c>
      <c r="E267" s="13"/>
      <c r="F267" s="138" t="s">
        <v>680</v>
      </c>
      <c r="G267" s="23" t="s">
        <v>813</v>
      </c>
      <c r="H267" s="23" t="s">
        <v>575</v>
      </c>
      <c r="I267" s="166">
        <f>D253+D266</f>
        <v>0</v>
      </c>
    </row>
    <row r="268" spans="1:16" ht="30" x14ac:dyDescent="0.25">
      <c r="A268" s="248"/>
      <c r="B268" s="23" t="s">
        <v>498</v>
      </c>
      <c r="C268" s="23" t="s">
        <v>499</v>
      </c>
      <c r="D268" s="49">
        <v>8</v>
      </c>
      <c r="E268" s="13"/>
      <c r="F268" s="138" t="s">
        <v>697</v>
      </c>
      <c r="G268" s="79" t="s">
        <v>814</v>
      </c>
      <c r="H268" s="79" t="s">
        <v>504</v>
      </c>
      <c r="I268" s="63">
        <f>D267</f>
        <v>0</v>
      </c>
    </row>
    <row r="269" spans="1:16" ht="15.75" x14ac:dyDescent="0.25">
      <c r="A269" s="248" t="s">
        <v>420</v>
      </c>
      <c r="B269" s="34" t="s">
        <v>456</v>
      </c>
      <c r="C269" s="34" t="s">
        <v>459</v>
      </c>
      <c r="D269" s="64">
        <f>SUM(D261:D268)</f>
        <v>62</v>
      </c>
      <c r="E269" s="13"/>
      <c r="F269" s="139" t="s">
        <v>724</v>
      </c>
      <c r="G269" s="167" t="s">
        <v>815</v>
      </c>
      <c r="H269" s="167" t="s">
        <v>505</v>
      </c>
      <c r="I269" s="250">
        <f>D254+D268</f>
        <v>28</v>
      </c>
    </row>
    <row r="270" spans="1:16" ht="15.75" x14ac:dyDescent="0.25">
      <c r="A270" s="282"/>
      <c r="B270" s="136"/>
      <c r="C270" s="32" t="s">
        <v>371</v>
      </c>
      <c r="D270" s="66">
        <f>D269-D260</f>
        <v>0</v>
      </c>
      <c r="E270" s="13"/>
    </row>
    <row r="271" spans="1:16" x14ac:dyDescent="0.25">
      <c r="F271" s="148"/>
      <c r="G271" s="23"/>
      <c r="H271" s="150"/>
      <c r="J271" s="150"/>
      <c r="K271" s="35"/>
    </row>
    <row r="272" spans="1:16" x14ac:dyDescent="0.25">
      <c r="A272" s="6"/>
      <c r="B272" s="6"/>
      <c r="C272" s="6"/>
      <c r="D272" s="6"/>
      <c r="E272" s="6"/>
      <c r="F272" s="6"/>
      <c r="G272" s="6"/>
      <c r="H272" s="6"/>
      <c r="I272" s="6"/>
      <c r="J272" s="6"/>
      <c r="K272" s="6"/>
      <c r="L272" s="6"/>
      <c r="M272" s="6"/>
      <c r="N272" s="6"/>
      <c r="O272" s="6"/>
      <c r="P272" s="6"/>
    </row>
    <row r="274" spans="1:10" x14ac:dyDescent="0.25">
      <c r="A274" s="86" t="s">
        <v>465</v>
      </c>
    </row>
    <row r="275" spans="1:10" x14ac:dyDescent="0.25">
      <c r="A275" s="332"/>
      <c r="B275" s="333"/>
      <c r="C275" s="333"/>
      <c r="D275" s="333"/>
      <c r="E275" s="333"/>
      <c r="F275" s="333"/>
      <c r="G275" s="333"/>
      <c r="H275" s="333"/>
      <c r="I275" s="334"/>
      <c r="J275" s="21"/>
    </row>
    <row r="276" spans="1:10" x14ac:dyDescent="0.25">
      <c r="A276" s="335"/>
      <c r="B276" s="336"/>
      <c r="C276" s="336"/>
      <c r="D276" s="336"/>
      <c r="E276" s="336"/>
      <c r="F276" s="336"/>
      <c r="G276" s="336"/>
      <c r="H276" s="336"/>
      <c r="I276" s="337"/>
    </row>
    <row r="277" spans="1:10" x14ac:dyDescent="0.25">
      <c r="A277" s="335"/>
      <c r="B277" s="336"/>
      <c r="C277" s="336"/>
      <c r="D277" s="336"/>
      <c r="E277" s="336"/>
      <c r="F277" s="336"/>
      <c r="G277" s="336"/>
      <c r="H277" s="336"/>
      <c r="I277" s="337"/>
    </row>
    <row r="278" spans="1:10" x14ac:dyDescent="0.25">
      <c r="A278" s="338"/>
      <c r="B278" s="339"/>
      <c r="C278" s="339"/>
      <c r="D278" s="339"/>
      <c r="E278" s="339"/>
      <c r="F278" s="339"/>
      <c r="G278" s="339"/>
      <c r="H278" s="339"/>
      <c r="I278" s="340"/>
    </row>
  </sheetData>
  <mergeCells count="13">
    <mergeCell ref="A11:F11"/>
    <mergeCell ref="A58:H61"/>
    <mergeCell ref="K236:P236"/>
    <mergeCell ref="K237:P237"/>
    <mergeCell ref="K85:P85"/>
    <mergeCell ref="K86:P86"/>
    <mergeCell ref="K182:P182"/>
    <mergeCell ref="K183:P183"/>
    <mergeCell ref="A275:I278"/>
    <mergeCell ref="F260:I260"/>
    <mergeCell ref="F225:I225"/>
    <mergeCell ref="F214:I214"/>
    <mergeCell ref="A57:H57"/>
  </mergeCells>
  <phoneticPr fontId="11" type="noConversion"/>
  <dataValidations count="13">
    <dataValidation type="list" allowBlank="1" showInputMessage="1" showErrorMessage="1" sqref="G55:G56" xr:uid="{D2166BDE-1F75-421F-9FAE-10E90022CD02}">
      <formula1>"(Välj),TJ,ton,m3,Nm3,Annan enhet (ange i kommentarsfältet)"</formula1>
    </dataValidation>
    <dataValidation type="list" allowBlank="1" showInputMessage="1" showErrorMessage="1" sqref="D48 D43:D46" xr:uid="{0FD7AF0C-206B-471F-9155-C26C505BE63D}">
      <formula1>"(Välj),Förpackningskartong,Förpackningspapper,Wellpappmaterial,Tryckpapper,Tidningspapper,Mjukpapper,Övrigt (ange i kommentarsfältet)"</formula1>
    </dataValidation>
    <dataValidation type="list" allowBlank="1" showInputMessage="1" showErrorMessage="1" sqref="D49:D50" xr:uid="{A002324F-6439-4211-BF9A-25F7F561D2B4}">
      <formula1>"(Välj),Kondens,Mottryck"</formula1>
    </dataValidation>
    <dataValidation type="list" allowBlank="1" showInputMessage="1" showErrorMessage="1" sqref="D39 D32 D21:D22" xr:uid="{52A52E76-838C-4135-9A94-DDFF138DB4D9}">
      <formula1>"(Välj),ECF-blekt,TCF-blekt,Ditionit,Väteperoxid,Ditionit+Väteperoxid,Oblekt"</formula1>
    </dataValidation>
    <dataValidation type="list" allowBlank="1" showInputMessage="1" showErrorMessage="1" sqref="D41:D42 D24 D34" xr:uid="{4E2C88EB-24E8-44B6-A58D-C4E5DAB4D720}">
      <formula1>"(Välj),Inköpta,Egenproducerade,I huvudsak inköpta,I huvudsak egenproducerade"</formula1>
    </dataValidation>
    <dataValidation type="list" allowBlank="1" showInputMessage="1" showErrorMessage="1" sqref="D37" xr:uid="{518E11A4-E6AD-4560-B3BC-0FE7FEA73A09}">
      <formula1>"(Välj),Avsvärtad,Ej avsvärtad"</formula1>
    </dataValidation>
    <dataValidation type="list" allowBlank="1" showInputMessage="1" showErrorMessage="1" sqref="D66" xr:uid="{A2DAE41A-ACAE-4E42-A797-807B4B84726E}">
      <formula1>"(Välj),m3fub,ton"</formula1>
    </dataValidation>
    <dataValidation type="list" allowBlank="1" showInputMessage="1" showErrorMessage="1" sqref="D30 D15:D17" xr:uid="{3D336ECC-A370-4566-B883-F39504B92E12}">
      <formula1>"(Välj),Löv - rundved,Löv - flis,Barr - rundved,Barr - flis"</formula1>
    </dataValidation>
    <dataValidation type="list" allowBlank="1" showInputMessage="1" showErrorMessage="1" sqref="D19" xr:uid="{C8D8C79F-05EC-4B61-88BE-A4B1319162F4}">
      <formula1>"(Välj),Pappersmassa,Dissolving,Annat"</formula1>
    </dataValidation>
    <dataValidation type="list" allowBlank="1" showInputMessage="1" showErrorMessage="1" sqref="D47" xr:uid="{0ECEC942-AF18-4E9E-9B0E-571A827C65FD}">
      <formula1>"(Välj),Fyllmedel,Bestrykning"</formula1>
    </dataValidation>
    <dataValidation type="list" allowBlank="1" showInputMessage="1" showErrorMessage="1" sqref="D28" xr:uid="{24A8B175-BDA1-485B-8998-E68F6C36BA70}">
      <formula1>"(Välj), I huvudsak egenproducerad kalk, Betydande mängd inköpt kalk"</formula1>
    </dataValidation>
    <dataValidation type="list" allowBlank="1" showInputMessage="1" showErrorMessage="1" sqref="G15:G17 G30" xr:uid="{72DBFBF7-8CF3-4371-813D-3EF254E80D91}">
      <formula1>"(Välj),m3fub,ton,%,Annan enhet (ange i kommentarsfältet)"</formula1>
    </dataValidation>
    <dataValidation type="list" allowBlank="1" showInputMessage="1" showErrorMessage="1" sqref="D55" xr:uid="{B234ED76-75A2-4B79-9736-0B675FF3B7C2}">
      <formula1>"(Välj),Lignin,Metanol,Annan (ange i kommentarsfältet),Ingen"</formula1>
    </dataValidation>
  </dataValidations>
  <printOptions gridLines="1"/>
  <pageMargins left="0.31496062992125984" right="0.31496062992125984" top="0.35433070866141736" bottom="0.35433070866141736" header="0.31496062992125984" footer="0.31496062992125984"/>
  <pageSetup paperSize="8" scale="80" pageOrder="overThenDown"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08d875-be25-46f5-8ff1-77147f2ebbf4" xsi:nil="true"/>
    <lcf76f155ced4ddcb4097134ff3c332f xmlns="87176224-dba4-4793-8e6c-0b313d1fcff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38E85BEABC8BF4A88BAA15576A594EF" ma:contentTypeVersion="12" ma:contentTypeDescription="Skapa ett nytt dokument." ma:contentTypeScope="" ma:versionID="bc2538bbe8318f140d8b1bd6b3a90589">
  <xsd:schema xmlns:xsd="http://www.w3.org/2001/XMLSchema" xmlns:xs="http://www.w3.org/2001/XMLSchema" xmlns:p="http://schemas.microsoft.com/office/2006/metadata/properties" xmlns:ns2="87176224-dba4-4793-8e6c-0b313d1fcffc" xmlns:ns3="6908d875-be25-46f5-8ff1-77147f2ebbf4" targetNamespace="http://schemas.microsoft.com/office/2006/metadata/properties" ma:root="true" ma:fieldsID="341c7f7a9d4cea629ec65b0da70cdd53" ns2:_="" ns3:_="">
    <xsd:import namespace="87176224-dba4-4793-8e6c-0b313d1fcffc"/>
    <xsd:import namespace="6908d875-be25-46f5-8ff1-77147f2ebb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176224-dba4-4793-8e6c-0b313d1fcf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eringar" ma:readOnly="false" ma:fieldId="{5cf76f15-5ced-4ddc-b409-7134ff3c332f}" ma:taxonomyMulti="true" ma:sspId="f715b3c1-6faf-452c-928b-c1f971cfea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08d875-be25-46f5-8ff1-77147f2ebbf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01df2ae-357a-4d91-bc9f-45c78ad4c008}" ma:internalName="TaxCatchAll" ma:showField="CatchAllData" ma:web="6908d875-be25-46f5-8ff1-77147f2ebb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4F9970-DF1F-4429-A6D7-99B30CC6F4FD}">
  <ds:schemaRefs>
    <ds:schemaRef ds:uri="http://schemas.microsoft.com/office/2006/metadata/properties"/>
    <ds:schemaRef ds:uri="http://schemas.microsoft.com/office/infopath/2007/PartnerControls"/>
    <ds:schemaRef ds:uri="http://schemas.microsoft.com/sharepoint/v3"/>
    <ds:schemaRef ds:uri="c5c7cef5-72b0-4130-9324-a6e7454301c2"/>
    <ds:schemaRef ds:uri="f51bab5f-0ed0-40a8-8f36-6fe936a64348"/>
  </ds:schemaRefs>
</ds:datastoreItem>
</file>

<file path=customXml/itemProps2.xml><?xml version="1.0" encoding="utf-8"?>
<ds:datastoreItem xmlns:ds="http://schemas.openxmlformats.org/officeDocument/2006/customXml" ds:itemID="{F91D7CAD-2D70-4D20-95C9-203F6B995A4F}"/>
</file>

<file path=customXml/itemProps3.xml><?xml version="1.0" encoding="utf-8"?>
<ds:datastoreItem xmlns:ds="http://schemas.openxmlformats.org/officeDocument/2006/customXml" ds:itemID="{CE78FFB4-874E-4E8F-98CD-5104BDDBC9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Sulfat, NSSC och RCF+Papper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Fernandez, Hanna</dc:creator>
  <cp:keywords/>
  <dc:description/>
  <cp:lastModifiedBy>Elin  Svensson</cp:lastModifiedBy>
  <cp:revision/>
  <cp:lastPrinted>2024-02-09T10:10:46Z</cp:lastPrinted>
  <dcterms:created xsi:type="dcterms:W3CDTF">2018-09-17T06:42:26Z</dcterms:created>
  <dcterms:modified xsi:type="dcterms:W3CDTF">2025-07-08T06:30:20Z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0x010100B38E85BEABC8BF4A88BAA15576A594EF</vt:lpwstr>
  </property>
  <property fmtid="{D5CDD505-2E9C-101B-9397-08002B2CF9AE}" pid="3" name="MediaServiceImageTags">
    <vt:lpwstr/>
  </property>
</Properties>
</file>