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47" documentId="8_{7D7B99C9-8FC4-4071-8C64-62DE543F2D98}" xr6:coauthVersionLast="47" xr6:coauthVersionMax="47" xr10:uidLastSave="{5F1FF95E-EB9C-4D02-8F1A-7786A3BCC4D0}"/>
  <bookViews>
    <workbookView xWindow="-120" yWindow="-120" windowWidth="29040" windowHeight="15720" xr2:uid="{81CFD70E-8034-4963-A311-A79E2EEFE8E7}"/>
  </bookViews>
  <sheets>
    <sheet name="Sulfat+NSSC+Pappe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6" i="2" l="1"/>
  <c r="P226" i="2"/>
  <c r="P227" i="2"/>
  <c r="N229" i="2"/>
  <c r="P229" i="2"/>
  <c r="P230" i="2"/>
  <c r="P232" i="2"/>
  <c r="P180" i="2"/>
  <c r="P178" i="2"/>
  <c r="P177" i="2"/>
  <c r="P175" i="2"/>
  <c r="P174" i="2"/>
  <c r="N177" i="2"/>
  <c r="N175" i="2"/>
  <c r="N174" i="2"/>
  <c r="N125" i="2"/>
  <c r="N123" i="2"/>
  <c r="N122" i="2"/>
  <c r="N120" i="2"/>
  <c r="N119" i="2"/>
  <c r="N117" i="2"/>
  <c r="P90" i="2"/>
  <c r="N90" i="2"/>
  <c r="P89" i="2"/>
  <c r="P87" i="2"/>
  <c r="P86" i="2"/>
  <c r="P84" i="2"/>
  <c r="P83" i="2"/>
  <c r="N89" i="2"/>
  <c r="N87" i="2"/>
  <c r="N86" i="2"/>
  <c r="N84" i="2"/>
  <c r="N83" i="2"/>
  <c r="D126" i="2"/>
  <c r="D159" i="2"/>
  <c r="D138" i="2"/>
  <c r="D226" i="2" l="1"/>
  <c r="I172" i="2" l="1"/>
  <c r="I250" i="2"/>
  <c r="P231" i="2" s="1"/>
  <c r="I249" i="2"/>
  <c r="I248" i="2"/>
  <c r="I247" i="2"/>
  <c r="I205" i="2" l="1"/>
  <c r="P179" i="2" s="1"/>
  <c r="I204" i="2"/>
  <c r="I203" i="2"/>
  <c r="I202" i="2"/>
  <c r="D185" i="2"/>
  <c r="D183" i="2"/>
  <c r="D82" i="2" l="1"/>
  <c r="D232" i="2" l="1"/>
  <c r="D61" i="2" l="1"/>
  <c r="D103" i="2" s="1"/>
  <c r="I121" i="2" l="1"/>
  <c r="I232" i="2"/>
  <c r="I246" i="2" s="1"/>
  <c r="I231" i="2"/>
  <c r="I245" i="2" s="1"/>
  <c r="D106" i="2"/>
  <c r="D105" i="2"/>
  <c r="D104" i="2"/>
  <c r="I186" i="2"/>
  <c r="I200" i="2" s="1"/>
  <c r="I187" i="2"/>
  <c r="I201" i="2" s="1"/>
  <c r="I122" i="2"/>
  <c r="D139" i="2"/>
  <c r="D140" i="2"/>
  <c r="D163" i="2"/>
  <c r="D160" i="2"/>
  <c r="D161" i="2"/>
  <c r="D162" i="2"/>
  <c r="P225" i="2" l="1"/>
  <c r="P228" i="2"/>
  <c r="P173" i="2"/>
  <c r="P176" i="2"/>
  <c r="D199" i="2"/>
  <c r="D252" i="2" l="1"/>
  <c r="D243" i="2" l="1"/>
  <c r="D239" i="2"/>
  <c r="D214" i="2" l="1"/>
  <c r="N129" i="2" l="1"/>
  <c r="D119" i="2" l="1"/>
  <c r="D121" i="2" s="1"/>
  <c r="D72" i="2"/>
  <c r="P81" i="2" s="1"/>
  <c r="D130" i="2" l="1"/>
  <c r="N81" i="2"/>
  <c r="D193" i="2" l="1"/>
  <c r="D180" i="2"/>
  <c r="D200" i="2" l="1"/>
  <c r="D206" i="2"/>
  <c r="I199" i="2" s="1"/>
  <c r="P172" i="2" s="1"/>
  <c r="D182" i="2"/>
  <c r="D186" i="2" s="1"/>
  <c r="I175" i="2" s="1"/>
  <c r="D172" i="2"/>
  <c r="D90" i="2"/>
  <c r="D93" i="2" s="1"/>
  <c r="D221" i="2"/>
  <c r="N172" i="2" l="1"/>
  <c r="D143" i="2"/>
  <c r="D144" i="2" s="1"/>
  <c r="I113" i="2" s="1"/>
  <c r="D173" i="2"/>
  <c r="I209" i="2"/>
  <c r="D94" i="2"/>
  <c r="D95" i="2" s="1"/>
  <c r="D215" i="2"/>
  <c r="D107" i="2" l="1"/>
  <c r="I84" i="2" s="1"/>
  <c r="P88" i="2" s="1"/>
  <c r="I210" i="2"/>
  <c r="I211" i="2" s="1"/>
  <c r="I212" i="2"/>
  <c r="I123" i="2"/>
  <c r="D231" i="2"/>
  <c r="D222" i="2"/>
  <c r="D223" i="2" s="1"/>
  <c r="I213" i="2" l="1"/>
  <c r="D228" i="2"/>
  <c r="D225" i="2"/>
  <c r="I77" i="2"/>
  <c r="I82" i="2"/>
  <c r="I79" i="2"/>
  <c r="I78" i="2"/>
  <c r="I83" i="2"/>
  <c r="I81" i="2"/>
  <c r="D233" i="2"/>
  <c r="I127" i="2"/>
  <c r="I132" i="2"/>
  <c r="I147" i="2" s="1"/>
  <c r="I133" i="2"/>
  <c r="I148" i="2" s="1"/>
  <c r="I183" i="2" s="1"/>
  <c r="I126" i="2"/>
  <c r="D229" i="2" l="1"/>
  <c r="I227" i="2" s="1"/>
  <c r="D240" i="2"/>
  <c r="P82" i="2"/>
  <c r="I182" i="2"/>
  <c r="I194" i="2" s="1"/>
  <c r="I195" i="2"/>
  <c r="N179" i="2" s="1"/>
  <c r="I94" i="2"/>
  <c r="I108" i="2" s="1"/>
  <c r="N88" i="2" s="1"/>
  <c r="N124" i="2"/>
  <c r="I93" i="2"/>
  <c r="I107" i="2" s="1"/>
  <c r="I137" i="2"/>
  <c r="I128" i="2"/>
  <c r="I145" i="2" s="1"/>
  <c r="I139" i="2"/>
  <c r="I88" i="2" s="1"/>
  <c r="I99" i="2" s="1"/>
  <c r="I131" i="2"/>
  <c r="I146" i="2" s="1"/>
  <c r="I130" i="2"/>
  <c r="I140" i="2" s="1"/>
  <c r="I91" i="2" s="1"/>
  <c r="I129" i="2"/>
  <c r="I138" i="2" s="1"/>
  <c r="I80" i="2"/>
  <c r="P85" i="2" s="1"/>
  <c r="I226" i="2" l="1"/>
  <c r="I238" i="2" s="1"/>
  <c r="I225" i="2"/>
  <c r="I237" i="2" s="1"/>
  <c r="I228" i="2"/>
  <c r="I240" i="2" s="1"/>
  <c r="N231" i="2" s="1"/>
  <c r="I181" i="2"/>
  <c r="I193" i="2" s="1"/>
  <c r="I180" i="2"/>
  <c r="I192" i="2" s="1"/>
  <c r="I89" i="2"/>
  <c r="I105" i="2" s="1"/>
  <c r="N180" i="2"/>
  <c r="I239" i="2"/>
  <c r="I87" i="2"/>
  <c r="I97" i="2" s="1"/>
  <c r="I144" i="2"/>
  <c r="I224" i="2" s="1"/>
  <c r="I90" i="2"/>
  <c r="I134" i="2"/>
  <c r="I92" i="2"/>
  <c r="I143" i="2"/>
  <c r="I223" i="2" s="1"/>
  <c r="I103" i="2" l="1"/>
  <c r="N82" i="2" s="1"/>
  <c r="N232" i="2"/>
  <c r="P123" i="2"/>
  <c r="I179" i="2"/>
  <c r="I191" i="2" s="1"/>
  <c r="P117" i="2"/>
  <c r="I178" i="2"/>
  <c r="P121" i="2"/>
  <c r="I235" i="2"/>
  <c r="I236" i="2"/>
  <c r="N118" i="2"/>
  <c r="N121" i="2"/>
  <c r="D242" i="2"/>
  <c r="I190" i="2" l="1"/>
  <c r="N228" i="2"/>
  <c r="N230" i="2"/>
  <c r="N225" i="2"/>
  <c r="N227" i="2"/>
  <c r="N176" i="2"/>
  <c r="N178" i="2"/>
  <c r="D244" i="2"/>
  <c r="I244" i="2" s="1"/>
  <c r="P224" i="2" s="1"/>
  <c r="N173" i="2" l="1"/>
  <c r="I220" i="2"/>
  <c r="N224" i="2" s="1"/>
  <c r="D253" i="2"/>
  <c r="I98" i="2"/>
  <c r="I100" i="2"/>
  <c r="I106" i="2"/>
  <c r="I104" i="2" l="1"/>
  <c r="N8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113" authorId="0" shapeId="0" xr:uid="{D54C3732-A534-44FC-8F20-DB8EB1F857CB}">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114" authorId="0" shapeId="0" xr:uid="{31A91B4E-EEA5-491E-8465-D4F2DE1FA449}">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<sst xmlns="http://schemas.openxmlformats.org/spreadsheetml/2006/main" count="1146" uniqueCount="870">
  <si>
    <r>
      <t>Grönt med</t>
    </r>
    <r>
      <rPr>
        <b/>
        <sz val="11"/>
        <color rgb="FF0070C0"/>
        <rFont val="Calibri"/>
        <family val="2"/>
        <scheme val="minor"/>
      </rPr>
      <t xml:space="preserve"> blå text</t>
    </r>
    <r>
      <rPr>
        <b/>
        <sz val="11"/>
        <color theme="1"/>
        <rFont val="Calibri"/>
        <family val="2"/>
        <scheme val="minor"/>
      </rPr>
      <t xml:space="preserve"> = Celler där data ska läggas in</t>
    </r>
  </si>
  <si>
    <t>Gult med svart text = Beräknade data</t>
  </si>
  <si>
    <t>NAMN PÅ BRUK:</t>
  </si>
  <si>
    <t>Blå = Beräknade nyckeltal</t>
  </si>
  <si>
    <t>ORT:</t>
  </si>
  <si>
    <t>SKOGEBORG</t>
  </si>
  <si>
    <t>Orange = Kontroll</t>
  </si>
  <si>
    <t>Rosa = Celler där data hämtas från annan cell</t>
  </si>
  <si>
    <t>Grå = Indata, flerval</t>
  </si>
  <si>
    <t>METADATA</t>
  </si>
  <si>
    <t>Område</t>
  </si>
  <si>
    <t>Förklaring</t>
  </si>
  <si>
    <t>Värde</t>
  </si>
  <si>
    <t>Kommentar</t>
  </si>
  <si>
    <t>Blekning</t>
  </si>
  <si>
    <t>(Välj)</t>
  </si>
  <si>
    <t>ADt</t>
  </si>
  <si>
    <t>Produktion av blekkemikalier</t>
  </si>
  <si>
    <t>Ange om använda blekkemikalier är inköpta eller egenproducerade</t>
  </si>
  <si>
    <t>-</t>
  </si>
  <si>
    <t>Kappatal</t>
  </si>
  <si>
    <t>Papper</t>
  </si>
  <si>
    <t>Typ av papper/kartong</t>
  </si>
  <si>
    <r>
      <t xml:space="preserve">Ange vilken/vilka typ(er) av papper/kartong som produceras, och produktion av respektive typ
</t>
    </r>
    <r>
      <rPr>
        <i/>
        <sz val="11"/>
        <color theme="1"/>
        <rFont val="Calibri"/>
        <family val="2"/>
        <scheme val="minor"/>
      </rPr>
      <t>[Infoga rader efter behov (om flera typer av papper/kartong)]</t>
    </r>
  </si>
  <si>
    <t>ton</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</si>
  <si>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</si>
  <si>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</si>
  <si>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</si>
  <si>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</si>
  <si>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</si>
  <si>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</si>
  <si>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</si>
  <si>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</si>
  <si>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</si>
  <si>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PRODUKTION</t>
  </si>
  <si>
    <t>Ekvation</t>
  </si>
  <si>
    <t>Benämning</t>
  </si>
  <si>
    <t>M1</t>
  </si>
  <si>
    <t>Ma pump sulf</t>
  </si>
  <si>
    <t>M2</t>
  </si>
  <si>
    <t>V1</t>
  </si>
  <si>
    <t>Ved sulf</t>
  </si>
  <si>
    <t xml:space="preserve">ved/flis till produktion av sulfatmassa </t>
  </si>
  <si>
    <t>V2</t>
  </si>
  <si>
    <t>M3</t>
  </si>
  <si>
    <t>Ma avsalu sulf</t>
  </si>
  <si>
    <t>såld sulfatmassa (avsalumassa)</t>
  </si>
  <si>
    <t>M4</t>
  </si>
  <si>
    <t>M5</t>
  </si>
  <si>
    <t>Ma ink</t>
  </si>
  <si>
    <t>inköpt massa</t>
  </si>
  <si>
    <t>P1</t>
  </si>
  <si>
    <t>Pa tot</t>
  </si>
  <si>
    <t>MP1</t>
  </si>
  <si>
    <t>Slutprod</t>
  </si>
  <si>
    <t>summa slutprodukter massa och papper</t>
  </si>
  <si>
    <t>ADt + ton</t>
  </si>
  <si>
    <t>ELFÖRBRUKNING</t>
  </si>
  <si>
    <t>TJ</t>
  </si>
  <si>
    <t>el ink</t>
  </si>
  <si>
    <t>el inköpt</t>
  </si>
  <si>
    <t>E11</t>
  </si>
  <si>
    <t>el rens sulf gem</t>
  </si>
  <si>
    <t>gemensam elförbrukning som fördelats till, eller med utgångspunkt från andel av uppmätt förbrukning hänförts till renseriet (sulfatmassans andel)</t>
  </si>
  <si>
    <t>E12</t>
  </si>
  <si>
    <t>el fiber sulf gem</t>
  </si>
  <si>
    <t>gemensam elförbrukning som fördelats till, eller med utgångspunkt från andel av uppmätt förbrukning hänförts till produktion av sulfat-pumpmassa (exkl. renseri)</t>
  </si>
  <si>
    <t>el såld</t>
  </si>
  <si>
    <t>el såld till elnätet</t>
  </si>
  <si>
    <t>E13</t>
  </si>
  <si>
    <t>el tork sulf gem</t>
  </si>
  <si>
    <t>E1</t>
  </si>
  <si>
    <t>El tot tillf</t>
  </si>
  <si>
    <t>Total elförbrukning i massabruket beräknad från produktion och handel (tillförselsidan)</t>
  </si>
  <si>
    <t>E14</t>
  </si>
  <si>
    <t>el rens uppm</t>
  </si>
  <si>
    <t>E15</t>
  </si>
  <si>
    <t>uppmätt elförbrukning för produktion av sulfat-pumpmassa, exkl. el till renseriet</t>
  </si>
  <si>
    <t>E16</t>
  </si>
  <si>
    <t>el tork sulf uppm</t>
  </si>
  <si>
    <t>uppmätt elförbrukning för torkning av sulfat-pumpmassa till avsalumassa</t>
  </si>
  <si>
    <t>E17</t>
  </si>
  <si>
    <t>el uppsl gem</t>
  </si>
  <si>
    <t>gemensam elförbrukning som fördelats till, eller med utgångspunkt från andel av uppmätt förbrukning hänförts till uppslagning av inköpt massa</t>
  </si>
  <si>
    <t>E18</t>
  </si>
  <si>
    <t>el pa gem</t>
  </si>
  <si>
    <t>gemensam elförbrukning som fördelats till, eller med utgångspunkt från andel av uppmätt förbrukning hänförts till själva pappersproduktionen</t>
  </si>
  <si>
    <t>el uppsl uppm</t>
  </si>
  <si>
    <t>uppmätt elförbrukning för uppslagning av inköpt massa</t>
  </si>
  <si>
    <t>el pa uppm</t>
  </si>
  <si>
    <t>uppmätt elförbrukning för själva pappersproduktionen</t>
  </si>
  <si>
    <t>E19</t>
  </si>
  <si>
    <t>el rens sulf br</t>
  </si>
  <si>
    <t>E2</t>
  </si>
  <si>
    <t>el proc uppm</t>
  </si>
  <si>
    <t>Summa elförbrukning som uppmätts specifikt för de olika processavsnitten</t>
  </si>
  <si>
    <t>E20</t>
  </si>
  <si>
    <t>el gem uppm</t>
  </si>
  <si>
    <t>uppmätt elförbrukning för gemensamma funktioner, dvs el som används för t.ex. vattenrening, kontor, underhållsverkstad och som inte används i elpannor för värmeproduktion</t>
  </si>
  <si>
    <t>E21</t>
  </si>
  <si>
    <t>el tork sulf br</t>
  </si>
  <si>
    <t>el br</t>
  </si>
  <si>
    <t>elförbrukning för produktion av värme i elpannor och el till övrig panndrift (användning av el som ”bränsle”)</t>
  </si>
  <si>
    <t>E22</t>
  </si>
  <si>
    <t>E3</t>
  </si>
  <si>
    <t>E23</t>
  </si>
  <si>
    <t>E4</t>
  </si>
  <si>
    <t>el bal</t>
  </si>
  <si>
    <t>E24</t>
  </si>
  <si>
    <t>E5</t>
  </si>
  <si>
    <t>el gem</t>
  </si>
  <si>
    <t>el som förbrukas i gemensamma funktioner eller ingår i gemensam balanspost</t>
  </si>
  <si>
    <t>E25</t>
  </si>
  <si>
    <t>el uppsl br</t>
  </si>
  <si>
    <t xml:space="preserve">el gem förd rens </t>
  </si>
  <si>
    <t xml:space="preserve">del av gemensam elförbrukning (inkl. gemensam balanspost) som kan fördelas till vedhantering och renseri baserat på rimliga antaganden och uppskattningar </t>
  </si>
  <si>
    <t>E26</t>
  </si>
  <si>
    <t>el pa br</t>
  </si>
  <si>
    <t xml:space="preserve">del av gemensam elförbrukning (inkl. gemensam balanspost) som kan fördelas till produktion av sulfat-pumpmassa (exkl. renseri) baserat på rimliga antaganden och uppskattningar </t>
  </si>
  <si>
    <t>el gem förd tork sulf</t>
  </si>
  <si>
    <t xml:space="preserve">del av gemensam elförbrukning (inkl. gemensam balanspost) som kan fördelas till torkning av sulfat-pumpmassa till avsalumassa baserat på rimliga antaganden och uppskattningar </t>
  </si>
  <si>
    <t>E27</t>
  </si>
  <si>
    <t>el rens sulf</t>
  </si>
  <si>
    <t>Förbrukning av el i renseriet (sulfatmassans del)</t>
  </si>
  <si>
    <t>E28</t>
  </si>
  <si>
    <t>el gem förd uppsl</t>
  </si>
  <si>
    <t>del av gemensam elförbrukning (inkl gemensam balanspost) som kan fördelas  till uppslagning av massa baserat på rimliga antaganden och uppskattningar</t>
  </si>
  <si>
    <t>E29</t>
  </si>
  <si>
    <t>Förbrukning av el för produktion av sulfat-pumpmassa (exkl. renseri)</t>
  </si>
  <si>
    <t>el gem förd pa</t>
  </si>
  <si>
    <t>del av gemensam elförbrukning (inkl gemensam balanspost) som kan fördelas till pappersproduktionen baserat på rimliga antaganden och uppskattningar</t>
  </si>
  <si>
    <t>E30</t>
  </si>
  <si>
    <t>E6</t>
  </si>
  <si>
    <t>el rens sulf uppm</t>
  </si>
  <si>
    <t>sulfatmassaproduktionens del av renseriets uppmätta elförbrukning</t>
  </si>
  <si>
    <t>E7</t>
  </si>
  <si>
    <t>E8</t>
  </si>
  <si>
    <t>el gem förd rens sulf</t>
  </si>
  <si>
    <t>E31</t>
  </si>
  <si>
    <t>El pump sulf</t>
  </si>
  <si>
    <t>Förbrukning av el för produktion av sulfat-pumpmassa</t>
  </si>
  <si>
    <t>E9</t>
  </si>
  <si>
    <t>E32</t>
  </si>
  <si>
    <t>E10</t>
  </si>
  <si>
    <t>el gem rest</t>
  </si>
  <si>
    <t>resterande gemensam elförbrukning som inte tydligt kan fördelas till specifika processavsnitt</t>
  </si>
  <si>
    <t>E33</t>
  </si>
  <si>
    <t>El tork sulf</t>
  </si>
  <si>
    <t>Förbrukning av el för torkning av sulfat-avsalumassa</t>
  </si>
  <si>
    <t>E34</t>
  </si>
  <si>
    <t>E35</t>
  </si>
  <si>
    <t>El uppsl</t>
  </si>
  <si>
    <t>Förbrukning av el för uppslagning av inköpt massa</t>
  </si>
  <si>
    <t>E36</t>
  </si>
  <si>
    <t>El pa</t>
  </si>
  <si>
    <t>Förbrukning av el för produktion av papper från pumpmassa</t>
  </si>
  <si>
    <t>NYCKELTAL</t>
  </si>
  <si>
    <t>E37</t>
  </si>
  <si>
    <t>E38</t>
  </si>
  <si>
    <t>E39</t>
  </si>
  <si>
    <t>E40</t>
  </si>
  <si>
    <t>E41</t>
  </si>
  <si>
    <t>E42</t>
  </si>
  <si>
    <t>E43</t>
  </si>
  <si>
    <t>E44</t>
  </si>
  <si>
    <t>Självförsörjningsgrad el</t>
  </si>
  <si>
    <t>VÄRMEFÖRBRUKNING</t>
  </si>
  <si>
    <t>q turb</t>
  </si>
  <si>
    <t>Q19</t>
  </si>
  <si>
    <t>q rens sulf gem</t>
  </si>
  <si>
    <t>gemensam värmeförbrukning som fördelats till, eller med utgångspunkt från andel av uppmätt förbrukning hänförts till renseriet (sulfatmassans andel)</t>
  </si>
  <si>
    <t>q dir</t>
  </si>
  <si>
    <t>Q20</t>
  </si>
  <si>
    <t>q fiber sulf gem</t>
  </si>
  <si>
    <t>gemensam värmeförbrukning som fördelats till, eller med utgångspunkt från andel av uppmätt förbrukning hänförts till produktion av sulfat-pumpmassa (exkl. renseri)</t>
  </si>
  <si>
    <t>q gp</t>
  </si>
  <si>
    <t>ånga producerad i starkgaspanna</t>
  </si>
  <si>
    <t>Q21</t>
  </si>
  <si>
    <t>q tork sulf gem</t>
  </si>
  <si>
    <t xml:space="preserve">gemensam värmeförbrukning som fördelats till, eller med utgångspunkt från andel av uppmätt förbrukning hänförts till torkning av sulfat-pumpmassa till avsalumassa </t>
  </si>
  <si>
    <t>q elp</t>
  </si>
  <si>
    <t>ånga producerad i elpanna</t>
  </si>
  <si>
    <t>Q22</t>
  </si>
  <si>
    <t>q övrp</t>
  </si>
  <si>
    <t>ånga som produceras i annan panna, ej ansluten till turbin</t>
  </si>
  <si>
    <t>Q23</t>
  </si>
  <si>
    <t>q vtn</t>
  </si>
  <si>
    <t xml:space="preserve">hetvatten som produceras i egen panna (t.ex. oljepanna eller elpanna)  </t>
  </si>
  <si>
    <t>Q24</t>
  </si>
  <si>
    <t>Q1</t>
  </si>
  <si>
    <t>q prod panna</t>
  </si>
  <si>
    <t>Q25</t>
  </si>
  <si>
    <t>q uppsl gem</t>
  </si>
  <si>
    <t>gemensam värmeförbrukning som fördelats till, eller med utgångspunkt från andel av uppmätt förbrukning hänförts till  uppslagning av inköpt massa</t>
  </si>
  <si>
    <t>q prod raff</t>
  </si>
  <si>
    <t>Q26</t>
  </si>
  <si>
    <t>q pa gem</t>
  </si>
  <si>
    <t>gemensam värmeförbrukning som fördelats till, eller med utgångspunkt från andel av uppmätt förbrukning hänförts till själva pappersproduktionen</t>
  </si>
  <si>
    <t>Q2</t>
  </si>
  <si>
    <t>q prod tot</t>
  </si>
  <si>
    <t>summa egenproducerad värme inkl raffinörer</t>
  </si>
  <si>
    <t>Kontroll (ska vara noll)</t>
  </si>
  <si>
    <t>q ink</t>
  </si>
  <si>
    <t>ånga  eller hetvatten som köps in från extern leverantör</t>
  </si>
  <si>
    <t>q prim ext</t>
  </si>
  <si>
    <t>Q3</t>
  </si>
  <si>
    <t>Q tot brutto</t>
  </si>
  <si>
    <t>brutto förbrukning av värme vid massa- och pappersbruket, beräknad från värmeproduktion</t>
  </si>
  <si>
    <t>q sek ext</t>
  </si>
  <si>
    <t>sekundärvärme från bruket som säljs till extern förbrukare</t>
  </si>
  <si>
    <t>q rens sulf</t>
  </si>
  <si>
    <t>Förbrukning av värme i renseriet (sulfatmassans del)</t>
  </si>
  <si>
    <t>Q4</t>
  </si>
  <si>
    <t>Q tot netto</t>
  </si>
  <si>
    <t>netto förbrukning av värme vid massabruket, beräknad från värmeproduktion</t>
  </si>
  <si>
    <t>q rens uppm</t>
  </si>
  <si>
    <t>Q27</t>
  </si>
  <si>
    <t>q fiber sulf</t>
  </si>
  <si>
    <t>Förbrukning av värme för produktion av sulfat-pumpmassa (exkl. renseri)</t>
  </si>
  <si>
    <t>q fiber sulf uppm</t>
  </si>
  <si>
    <t>uppmätt förbrukning av primärvärme för produktion av sulfat-pumpmassa (exkl. renseri)</t>
  </si>
  <si>
    <t>Q28</t>
  </si>
  <si>
    <t>q tork sulf uppm</t>
  </si>
  <si>
    <t>uppmätt förbrukning av primärvärme för torkning av sulfat-avsalumassa</t>
  </si>
  <si>
    <t>Q31</t>
  </si>
  <si>
    <t>Q pump sulf</t>
  </si>
  <si>
    <t>Förbrukning av värme för produktion av sulfat-pumpmassa</t>
  </si>
  <si>
    <t>q uppsl uppm</t>
  </si>
  <si>
    <t>uppmätt förbrukning av primärvärme för uppslagning av inköpt massa</t>
  </si>
  <si>
    <t>Q32</t>
  </si>
  <si>
    <t>q pa uppm</t>
  </si>
  <si>
    <t>uppmätt förbrukning av primärvärme för själva pappersproduktionen</t>
  </si>
  <si>
    <t>Q29</t>
  </si>
  <si>
    <t>Förbrukning av värme för torkning av sulfat-avsalumassa</t>
  </si>
  <si>
    <t>Q5</t>
  </si>
  <si>
    <t>q proc uppm</t>
  </si>
  <si>
    <t>summa  primärvärmeförbrukning uppmätt specifikt för de olika processavsnitten</t>
  </si>
  <si>
    <t>Q30</t>
  </si>
  <si>
    <t>q gem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</si>
  <si>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</si>
  <si>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Q33</t>
  </si>
  <si>
    <t>Q uppsl</t>
  </si>
  <si>
    <t>Förbrukning av värme för uppslagning av inköpt massa</t>
  </si>
  <si>
    <t>q fribl uppm</t>
  </si>
  <si>
    <t xml:space="preserve">uppmätt friblåsning av ånga som därmed inte nyttiggörs i produktionen </t>
  </si>
  <si>
    <t>Q34</t>
  </si>
  <si>
    <t>Q pa</t>
  </si>
  <si>
    <t>Förbrukning av värme för produktion av papper från pumpmassa</t>
  </si>
  <si>
    <t>Q6</t>
  </si>
  <si>
    <t>Q tot uppm</t>
  </si>
  <si>
    <t>total uppmätt primärvärmeförbrukning</t>
  </si>
  <si>
    <t>Q7</t>
  </si>
  <si>
    <t>q prim bal</t>
  </si>
  <si>
    <t>q rens→sek</t>
  </si>
  <si>
    <t>sekundärvärme som tillvaratas från renseriet</t>
  </si>
  <si>
    <t>GJ/ADt</t>
  </si>
  <si>
    <t>q fiber sulf→sek</t>
  </si>
  <si>
    <t xml:space="preserve">sekundärvärme som tillvaratas från produktionen av sulfat-pumpmassa (exkl. renseri). </t>
  </si>
  <si>
    <t>Q35</t>
  </si>
  <si>
    <t>q tork sulf→sek</t>
  </si>
  <si>
    <t xml:space="preserve">sekundärvärme som tillvaratas från torkningen av sulfat-avsalumassa </t>
  </si>
  <si>
    <t>Q36</t>
  </si>
  <si>
    <t>Q37</t>
  </si>
  <si>
    <t>Q38</t>
  </si>
  <si>
    <t>q uppsl→sek</t>
  </si>
  <si>
    <t xml:space="preserve">sekundärvärme som tillvaratas från uppslagningen av inköpt massa  </t>
  </si>
  <si>
    <t>Q39</t>
  </si>
  <si>
    <t>q pa→sek</t>
  </si>
  <si>
    <t>sekundärvärme som tillvaratas från själva pappersproduktionen</t>
  </si>
  <si>
    <t>q sek→rens</t>
  </si>
  <si>
    <t>sekundärvärme som används i renseriet</t>
  </si>
  <si>
    <t>q sek→fiber sulf</t>
  </si>
  <si>
    <t>sekundärvärme som används för produktion av sulfat-pumpmassa (exkl. renseri)</t>
  </si>
  <si>
    <t>q sek→tork sulf</t>
  </si>
  <si>
    <t>sekundärvärme som används för torkning av sulfat-avsalumassa</t>
  </si>
  <si>
    <t>Q40</t>
  </si>
  <si>
    <t>Q41</t>
  </si>
  <si>
    <t>q sek→uppsl</t>
  </si>
  <si>
    <t>sekundärvärme som används för uppslagning av inköpt massa</t>
  </si>
  <si>
    <t>q sek→pa</t>
  </si>
  <si>
    <t>sekundärvärme som används för själva pappersproduktionen </t>
  </si>
  <si>
    <t>Q8</t>
  </si>
  <si>
    <t>q sek bal</t>
  </si>
  <si>
    <t>Q42</t>
  </si>
  <si>
    <t>Q9</t>
  </si>
  <si>
    <t>q rens sulf→sek</t>
  </si>
  <si>
    <t>sulfatmassans del av sekundärvärme som tillvaratas från renseriet</t>
  </si>
  <si>
    <t>Q10</t>
  </si>
  <si>
    <t>Q44</t>
  </si>
  <si>
    <t>Q11</t>
  </si>
  <si>
    <t>q sek→rens sulf</t>
  </si>
  <si>
    <t>sulfatmassans del av sekundärvärmeanvändning i renseriet</t>
  </si>
  <si>
    <t>Q12</t>
  </si>
  <si>
    <t>Q13</t>
  </si>
  <si>
    <t>q gem</t>
  </si>
  <si>
    <t>värme som förbrukas i gemensamma funktioner eller ingår i gemensamma balansposter</t>
  </si>
  <si>
    <t>q gem förd rens</t>
  </si>
  <si>
    <t xml:space="preserve">del av gemensam värmeförbrukning (inkl. friblåsning och  gemensam balanspost) som kan fördelas till vedhantering och renseri baserat på rimliga antaganden och uppskattningar </t>
  </si>
  <si>
    <t>q gem förd fiber sulf</t>
  </si>
  <si>
    <t xml:space="preserve">del av gemensam värmeförbrukning (inkl. friblåsning och gemensam balanspost) som kan fördelas till produktion av sulfat-pumpmassa (exkl. renseri) baserat på rimliga antaganden och uppskattningar </t>
  </si>
  <si>
    <t>q gem förd tork sulf</t>
  </si>
  <si>
    <t xml:space="preserve">del av gemensam värmeförbrukning (inkl. friblåsning och gemensam balanspost) som kan fördelas till torkning av sulfat-pumpmassa till avsalumassa baserat på rimliga antaganden och uppskattningar </t>
  </si>
  <si>
    <t>q gem förd uppsl</t>
  </si>
  <si>
    <t>del av gemensam värmeförbrukning (inkl friblåsning och gemensam balanspost)  som kan fördelas till uppslagning av inköpt massa baserat på rimliga antaganden och uppskattningar</t>
  </si>
  <si>
    <t>q gem förd pa</t>
  </si>
  <si>
    <t>del av gemensam värmeförbrukning (inkl friblåsning och gemensam balanspost)  som kan fördelas till själva pappersproduktionen baserat på rimliga antaganden och uppskattningar</t>
  </si>
  <si>
    <t>Q14</t>
  </si>
  <si>
    <t>q rens sulf uppm</t>
  </si>
  <si>
    <t>sulfatmassans del av uppmätt värmeförbrukning i renseriet</t>
  </si>
  <si>
    <t>Q15</t>
  </si>
  <si>
    <t>Q16</t>
  </si>
  <si>
    <t>q gem förd rens sulf</t>
  </si>
  <si>
    <t>Q17</t>
  </si>
  <si>
    <t>Q18</t>
  </si>
  <si>
    <t>q gem rest</t>
  </si>
  <si>
    <t>resterande gemensam värmeförbrukning som inte tydligt kan fördelas till något av de olika processavsnitten</t>
  </si>
  <si>
    <t>BRÄNSLEFÖRBRUKNING TOTAL</t>
  </si>
  <si>
    <t>br bio ink fast</t>
  </si>
  <si>
    <t>inköpt bark, skogsflis och andra fasta biobränslen</t>
  </si>
  <si>
    <t>br såld bark</t>
  </si>
  <si>
    <t>såld bark och annat fast biobränsle som uppkommit i vedhantering och renseri</t>
  </si>
  <si>
    <t>B9</t>
  </si>
  <si>
    <t>Br tot inre netto</t>
  </si>
  <si>
    <t>Summa förbrukning av bränslen, inre systemgräns</t>
  </si>
  <si>
    <t>B1</t>
  </si>
  <si>
    <t>Br bio fast inre</t>
  </si>
  <si>
    <t>bark eller annat fast biobränsle som används för värmeproduktion vid bruket (förbränns i pannor eller används för direktvärme)</t>
  </si>
  <si>
    <t>Kontroll balans fast biobränsle (ska vara noll)</t>
  </si>
  <si>
    <t>Bränsle som används för produktion av ånga och hetvatten i egna pannor</t>
  </si>
  <si>
    <t>B10</t>
  </si>
  <si>
    <t>br pump sulf panna</t>
  </si>
  <si>
    <t>bränsle som används för att producera värme i form av ånga eller hetvatten fördelad till produktion av sulfat-pumpmassa</t>
  </si>
  <si>
    <t>br fast bio panna</t>
  </si>
  <si>
    <t>B11</t>
  </si>
  <si>
    <t>br tork sulf panna</t>
  </si>
  <si>
    <t>bränsle som används för att producera värme i form av ånga eller hetvatten fördelad till torkning av sulfat-pumpmassa till avsalumassa</t>
  </si>
  <si>
    <t>br flyt bio panna</t>
  </si>
  <si>
    <t>inköpta flytande biobränslen</t>
  </si>
  <si>
    <t>B12</t>
  </si>
  <si>
    <t>br gas bio panna</t>
  </si>
  <si>
    <t>inköpt biogas</t>
  </si>
  <si>
    <t>B13</t>
  </si>
  <si>
    <t>br eo fos panna</t>
  </si>
  <si>
    <t>fossil eldningsolja</t>
  </si>
  <si>
    <t>br gas fos panna</t>
  </si>
  <si>
    <t>B2</t>
  </si>
  <si>
    <t>Br panna inre brutto</t>
  </si>
  <si>
    <t>Summa bränsle för värmeproduktion i pannor, inre systemgräns, brutto</t>
  </si>
  <si>
    <t>B14</t>
  </si>
  <si>
    <t>br rens sulf övr</t>
  </si>
  <si>
    <t>sulfatmassans del av drivmedel och övrigt bränsle som används i verksamhet som kan hänföras till renseri, t.ex. truckar på vedgården.</t>
  </si>
  <si>
    <t>η ext</t>
  </si>
  <si>
    <t>B15</t>
  </si>
  <si>
    <t>B3</t>
  </si>
  <si>
    <t>B4</t>
  </si>
  <si>
    <t>Br panna inre netto</t>
  </si>
  <si>
    <t>Summa bränsle för värmeproduktion i pannor, inre systemgräns, netto</t>
  </si>
  <si>
    <t>B16</t>
  </si>
  <si>
    <t>Br pump sulf</t>
  </si>
  <si>
    <t>br fast bio dir</t>
  </si>
  <si>
    <t>B17</t>
  </si>
  <si>
    <t>br flyt bio dir</t>
  </si>
  <si>
    <t>B18</t>
  </si>
  <si>
    <t>Br tork sulf</t>
  </si>
  <si>
    <t>br gas bio dir</t>
  </si>
  <si>
    <t>B19</t>
  </si>
  <si>
    <t>br eo fos dir</t>
  </si>
  <si>
    <t>B20</t>
  </si>
  <si>
    <t>br gas fos dir</t>
  </si>
  <si>
    <t>övriga  fossila bränslen, t.ex. gasol och naturgas</t>
  </si>
  <si>
    <t>B21</t>
  </si>
  <si>
    <t>B5</t>
  </si>
  <si>
    <t>Br dir inre</t>
  </si>
  <si>
    <t>B6</t>
  </si>
  <si>
    <t>Kontroll, ska vara 0 (noll)</t>
  </si>
  <si>
    <t>B22</t>
  </si>
  <si>
    <t>x bio eget</t>
  </si>
  <si>
    <t>andel av totalt använd bark och annat biobränsle som uppkommit vid bruket</t>
  </si>
  <si>
    <t>Bränsle övrigt, använt som drivmedel eller för annat ändamål än värme eller direktvärme</t>
  </si>
  <si>
    <t>B23</t>
  </si>
  <si>
    <t>Br panna yttre, brutto</t>
  </si>
  <si>
    <t>Summa bränsle för värmeproduktion i pannor, yttre systemgräns, brutto</t>
  </si>
  <si>
    <t>br driv bio</t>
  </si>
  <si>
    <t>biodrivmedel (interna transporter), t.ex. biodiesel och etanol</t>
  </si>
  <si>
    <t>B24</t>
  </si>
  <si>
    <t>Br panna yttre netto</t>
  </si>
  <si>
    <t>Summa bränsle värmeproduktion i pannor, yttre systemgräns, netto</t>
  </si>
  <si>
    <t>br driv fos</t>
  </si>
  <si>
    <t>fossilt drivmedel (interna transporter), t.ex. bensin och diesel</t>
  </si>
  <si>
    <t>B25</t>
  </si>
  <si>
    <t>Br dir yttre</t>
  </si>
  <si>
    <t>br annat bio</t>
  </si>
  <si>
    <t>bränsle för andra ändamål, bio</t>
  </si>
  <si>
    <t>B26</t>
  </si>
  <si>
    <t>Br tot yttre</t>
  </si>
  <si>
    <t>Summa förbrukning av bränslen, yttre systemgräns</t>
  </si>
  <si>
    <t>br annat fos</t>
  </si>
  <si>
    <t>bränsle för andra ändamål, fossilt</t>
  </si>
  <si>
    <t>B7</t>
  </si>
  <si>
    <t>Br övr</t>
  </si>
  <si>
    <t>br rens övr</t>
  </si>
  <si>
    <t>drivmedel och övrigt bränsle som används i verksamhet som kan hänföras till renseri, t.ex. truckar på vedgården.</t>
  </si>
  <si>
    <t>B27</t>
  </si>
  <si>
    <t>B28</t>
  </si>
  <si>
    <t>br tork sulf övr</t>
  </si>
  <si>
    <t>drivmedel och övrigt bränsle som används i verksamhet som kan hänföras till torkningen av sulfatmassa, t.ex. truckar för utlastning av avsalumassa</t>
  </si>
  <si>
    <t>B29</t>
  </si>
  <si>
    <t>B30</t>
  </si>
  <si>
    <t>B8</t>
  </si>
  <si>
    <t>B31</t>
  </si>
  <si>
    <t>BRÄNSLEFÖRBRUKNING FOSSIL</t>
  </si>
  <si>
    <t>Fossilt bränsle som används för produktion av ånga och varmvatten</t>
  </si>
  <si>
    <t>F1</t>
  </si>
  <si>
    <t>Br panna brutto fos</t>
  </si>
  <si>
    <t>Summa fossilt bränsle för värmeproduktion i pannor, brutto</t>
  </si>
  <si>
    <t>F8</t>
  </si>
  <si>
    <t>Br tot fos</t>
  </si>
  <si>
    <t>Summa fossilt bränsle</t>
  </si>
  <si>
    <t>F2</t>
  </si>
  <si>
    <t>F3</t>
  </si>
  <si>
    <t>Br panna netto fos</t>
  </si>
  <si>
    <t>Summa fossilt bränsle  för värmeproduktion i pannor, netto</t>
  </si>
  <si>
    <t>F9</t>
  </si>
  <si>
    <t>br pump sulf panna fos</t>
  </si>
  <si>
    <t>fossilt bränsle som används för att producera värme i form av ånga eller hetvatten fördelad till produktion av sulfat-pumpmassa</t>
  </si>
  <si>
    <t>F10</t>
  </si>
  <si>
    <t>br tork sulf panna fos</t>
  </si>
  <si>
    <t>fossilt bränsle som används för att producera värme i form av ånga eller hetvatten fördelad till torkning av sulfat-pumpmassa till avsalumassa</t>
  </si>
  <si>
    <t>F11</t>
  </si>
  <si>
    <t>F12</t>
  </si>
  <si>
    <t>F4</t>
  </si>
  <si>
    <t>Br dir fos</t>
  </si>
  <si>
    <t>Summa fossilt bränsle direktvärme (beräknat från bränsleslag)</t>
  </si>
  <si>
    <t>F13</t>
  </si>
  <si>
    <t>br rens sulf övr fos</t>
  </si>
  <si>
    <t>sulfatmassans del av fossilt drivmedel och övrigt bränsle som används i verksamhet som kan hänföras till renseri, t.ex. truckar på vedgården.</t>
  </si>
  <si>
    <t>F5</t>
  </si>
  <si>
    <t>Summa fossilt bränsle direktvärme (beräknat från användning)</t>
  </si>
  <si>
    <t>F14</t>
  </si>
  <si>
    <t>Fossilt bränsle övrigt, använt som drivmedel eller för annat ändamål än värme eller direktvärme</t>
  </si>
  <si>
    <t>fossilt bränsle för andra ändamål</t>
  </si>
  <si>
    <t>F15</t>
  </si>
  <si>
    <t>Br pump sulf fos</t>
  </si>
  <si>
    <t>Förbrukning av fossilt bränsle för produktion av sulfat-pumpmassa</t>
  </si>
  <si>
    <t>br rens övr fos</t>
  </si>
  <si>
    <t>fossilt drivmedel och övrigt bränsle som används i verksamhet som kan hänföras till renseri, t.ex. truckar på vedgården.</t>
  </si>
  <si>
    <t>F16</t>
  </si>
  <si>
    <t>fossilt drivmedel och övrigt bränsle som används i verksamhet som kan hänföras till produktionen av sulfat-pumpmassa (exl. renseri)</t>
  </si>
  <si>
    <t>F17</t>
  </si>
  <si>
    <t>Br tork sulf fos</t>
  </si>
  <si>
    <t>Förbrukning av fossilt bränsle för torkning av sulfat-avsalumassa</t>
  </si>
  <si>
    <t>F18</t>
  </si>
  <si>
    <t>br tork sulf övr fos</t>
  </si>
  <si>
    <t>fossilt drivmedel och övrigt bränsle som används i verksamhet som kan hänföras till torkningen av sulfatmassa, t.ex. truckar för utlastning av avsalumassa</t>
  </si>
  <si>
    <t>F19</t>
  </si>
  <si>
    <t>F20</t>
  </si>
  <si>
    <t>F6</t>
  </si>
  <si>
    <t>Br övr fos</t>
  </si>
  <si>
    <t>Summa  övrigt fossilt bränsle (beräknat från bränsleslag)</t>
  </si>
  <si>
    <t>F7</t>
  </si>
  <si>
    <t>Summa  övrigt fossilt bränsle (beräknat från ändamål)</t>
  </si>
  <si>
    <t>F21</t>
  </si>
  <si>
    <t>F22</t>
  </si>
  <si>
    <t>F23</t>
  </si>
  <si>
    <t>F24</t>
  </si>
  <si>
    <t>Kommentarer och noteringar</t>
  </si>
  <si>
    <t>Q45</t>
  </si>
  <si>
    <t>Q tork sulf</t>
  </si>
  <si>
    <t>br pa dir</t>
  </si>
  <si>
    <t>bränsle som används för att producera direktvärme för själva pappersproduktionen</t>
  </si>
  <si>
    <t>bränsle som används för att producera direktvärme vid produktion av sulfat-pumpmassa, t.ex. bränsle till mesaugnen</t>
  </si>
  <si>
    <t>br tork sulf dir</t>
  </si>
  <si>
    <t>bränsle som används för att producera direktvärme för torkning av sulfatmassa, t.ex. direkteldade flingtorkar</t>
  </si>
  <si>
    <t>Bränsle som används för direktvärme (tex i mesaugn)</t>
  </si>
  <si>
    <t>drivmedel och övrigt bränsle som används i verksamhet som kan hänföras till produktionen av sulfat-pumpmassa (exkl. renseri)</t>
  </si>
  <si>
    <t>br uppsl övr</t>
  </si>
  <si>
    <t>drivmedel och annat bränsle som används i verksamhet som kan hänföras till uppslagning av inköpt massa</t>
  </si>
  <si>
    <t>br pa övr</t>
  </si>
  <si>
    <t>drivmedel och annat bränsle som används i verksamhet som kan hänföras till själva pappersproduktionen, t.ex. truckar för hantering av färdig produkt</t>
  </si>
  <si>
    <t>br uppsl panna</t>
  </si>
  <si>
    <t>br pa panna</t>
  </si>
  <si>
    <t>Br uppsl</t>
  </si>
  <si>
    <t>Br pa</t>
  </si>
  <si>
    <t>B32</t>
  </si>
  <si>
    <t>B33</t>
  </si>
  <si>
    <t>bränsle som används för att producera värme i form av ånga eller hetvatten fördelad till själva pappersproduktionen</t>
  </si>
  <si>
    <t>bränsle som används för att producera värme i form av ånga eller hetvatten fördelad till uppslagning av inköpt massa</t>
  </si>
  <si>
    <t>br tork sulf dir fos</t>
  </si>
  <si>
    <t>br pa dir fos</t>
  </si>
  <si>
    <t>fossilt bränsle som används för att producera direktvärme vid produktion av sulfat-pumpmassa, t.ex. bränsle till mesaugnen</t>
  </si>
  <si>
    <t>fossilt bränsle som används för att producera direktvärme för torkning av sulfatmassa, t.ex. direkteldade flingtorkar</t>
  </si>
  <si>
    <t>fossilt bränsle som används för att producera direktvärme för själva pappersproduktionen</t>
  </si>
  <si>
    <t>br uppsl övr fos</t>
  </si>
  <si>
    <t>fossilt drivmedel och övrigt bränsle som används i verksamhet som kan hänföras till uppslagning av inköpt massa, t ex truckar för mottagning av inköpt massa</t>
  </si>
  <si>
    <t>br pa övr fos</t>
  </si>
  <si>
    <t>fossilt drivmedel och övrigt bränsle som används i verksamhet som kan hänföras till själva pappersproduktionen, t ex truckar för utlastning av färdig produkt</t>
  </si>
  <si>
    <t>fossilt bränsle som används för att producera värme i form av ånga eller hetvatten fördelad till uppslagning av inköpt massa</t>
  </si>
  <si>
    <t>fossilt bränsle som används för att producera värme i form av ånga eller hetvatten fördelad till själva pappersproduktionen</t>
  </si>
  <si>
    <t>Br uppsl fos</t>
  </si>
  <si>
    <t>Br pa fos</t>
  </si>
  <si>
    <t>Förbrukning av fossilt bränsle för uppslagning av inköpt massa</t>
  </si>
  <si>
    <t>Förbrukning av fossilt bränsle för själva pappersproduktionen</t>
  </si>
  <si>
    <t>F27</t>
  </si>
  <si>
    <t>F28</t>
  </si>
  <si>
    <t>F29</t>
  </si>
  <si>
    <t>Fossilt bränsle som används för direktvärme</t>
  </si>
  <si>
    <t>el använd för värmeproduktion fördelad till renseriet (sulfatmassans del)</t>
  </si>
  <si>
    <t>el använd för värmeproduktion fördelad till produktion av sulfat-pumpmassa (exkl. renseri)</t>
  </si>
  <si>
    <t>el använd för värmeproduktion fördelad till torkning av sulfat-avsalumassa</t>
  </si>
  <si>
    <t>el använd för värmeproduktion fördelad till uppslagning av inköpt massa</t>
  </si>
  <si>
    <t>el använd för värmeproduktion fördelad till själva pappersproduktionen</t>
  </si>
  <si>
    <t>sulfatmassans del av värmeförbrukning som fördelats till renseriet</t>
  </si>
  <si>
    <t>Q43</t>
  </si>
  <si>
    <t>Q46</t>
  </si>
  <si>
    <t>B34</t>
  </si>
  <si>
    <t>B35</t>
  </si>
  <si>
    <t>br bio eget fast</t>
  </si>
  <si>
    <t>SKOGENS SULFAT- OCH NSSC-BRUK</t>
  </si>
  <si>
    <t>Ved NSSC</t>
  </si>
  <si>
    <t>såld NSSC-massa (avsalumassa)</t>
  </si>
  <si>
    <t>gemensam elförbrukning som fördelats till, eller med utgångspunkt från andel av uppmätt förbrukning hänförts till renseriet (NSSC-massans andel)</t>
  </si>
  <si>
    <t>uppmätt elförbrukning vid renseriet, från att veden kommer in på vedgården tills att flisen separeras till produktion av sulfatmassa resp. NSSC-massa</t>
  </si>
  <si>
    <t>el använd för värmeproduktion fördelad till renseriet (NSSC-massans del)</t>
  </si>
  <si>
    <t>Förbrukning av el i renseriet (NSSC-massans del)</t>
  </si>
  <si>
    <t>NSSC-massaproduktionens del av renseriets uppmätta elförbrukning</t>
  </si>
  <si>
    <t>gemensam värmeförbrukning somfördelats till, eller med utgångspunkt från andel av uppmätt förbrukning hänförts till renseriet (NSSC-massans andel)</t>
  </si>
  <si>
    <t>Förbrukning av värme i renseriet (NSSC-massans del)</t>
  </si>
  <si>
    <t xml:space="preserve">uppmätt förbrukning av primärvärme vid renseriet, från att veden kommer in på vedgården tills att flisen separeras till produktion av sulfatmassa resp. NSSC-massa </t>
  </si>
  <si>
    <t>NSSC-massans del av uppmätt värmeförbrukning i renseriet</t>
  </si>
  <si>
    <t>NSSC-massans del av sekundärvärme som tillvaratas från renseriet</t>
  </si>
  <si>
    <t>NSSC-massans del av sekundärvärmeanvändning i renseriet</t>
  </si>
  <si>
    <t>NSSC-massans del av värmeförbrukning som fördelats till renseriet</t>
  </si>
  <si>
    <t>NSSC-massans del av drivmedel och övrigt bränsle som används i verksamhet som kan hänföras till renseri, t.ex. truckar på vedgården.</t>
  </si>
  <si>
    <t>bränsle som används för att producera direktvärme för torkning av NSSC-massa, t.ex. direkteldade flingtorkar</t>
  </si>
  <si>
    <t>NSSC-massans del av fossilt drivmedel och övrigt bränsle som används i verksamhet som kan hänföras till renseri, t.ex. truckar på vedgården.</t>
  </si>
  <si>
    <t>fossilt bränsle som används för att producera direktvärme för torkning av NSSC-massa, t.ex. direkteldade flingtorkar</t>
  </si>
  <si>
    <t>fossilt drivmedel och övrigt bränsle som används i verksamhet som kan hänföras till torkningen av NSSC-massa, t.ex. truckar för utlastning av avsalumassa</t>
  </si>
  <si>
    <t xml:space="preserve">ved/flis till produktion av NSSC-massa </t>
  </si>
  <si>
    <t>Ma avsalu NSSC</t>
  </si>
  <si>
    <t>el rens NSSC gem</t>
  </si>
  <si>
    <t>el fiber NSSC gem</t>
  </si>
  <si>
    <t>gemensam elförbrukning som fördelats till, eller med utgångspunkt från andel av uppmätt förbrukning hänförts till produktion av NSSC-pumpmassa (exkl. renseri)</t>
  </si>
  <si>
    <t>gemensam elförbrukning som fördelats till, eller med utgångspunkt från andel av uppmätt förbrukning hänförts till torkning av NSSC-pumpmassa till avsalumassa</t>
  </si>
  <si>
    <t>uppmätt elförbrukning för produktion av NSSC-pumpmassa, exkl. el till renseriet</t>
  </si>
  <si>
    <t xml:space="preserve">uppmätt elförbrukning för torkning av NSSC-pumpmassa till avsalumassa </t>
  </si>
  <si>
    <t xml:space="preserve">del av gemensam elförbrukning (inkl. gemensam balanspost) som kan fördelas till produktion av NSSC-pumpmassa (exkl. renseri) baserat på rimliga antaganden och uppskattningar </t>
  </si>
  <si>
    <t xml:space="preserve">del av gemensam elförbrukning (inkl. gemensam balanspost) som kan fördelas till torkning av NSSC-pumpmassa till avsalumassa baserat på rimliga antaganden och uppskattningar </t>
  </si>
  <si>
    <t>Förbrukning av el för produktion av NSSC-pumpmassa (exkl. renseri)</t>
  </si>
  <si>
    <t>Förbrukning av el för produktion av NSSC-pumpmassa</t>
  </si>
  <si>
    <t>gemensam värmeförbrukning som fördelats till, eller med utgångspunkt från andel av uppmätt förbrukning hänförts till produktion av NSSC-pumpmassa (exkl. renseri)</t>
  </si>
  <si>
    <t>gemensam värmeförbrukning som fördelats till eller uppskattas användas förfördelats till, eller med utgångspunkt från andel av uppmätt förbrukning hänförts till torkning av NSSC-pumpmassa till avsalumassa</t>
  </si>
  <si>
    <t>Förbrukning av värme för produktion av NSSC-pumpmassa (exkl. renseri)</t>
  </si>
  <si>
    <t>uppmätt förbrukning av primärvärme för produktion av NSSC-pumpmassa (exkl. renseri)</t>
  </si>
  <si>
    <t>Förbrukning av värme för produktion av NSSC-pumpmassa</t>
  </si>
  <si>
    <t>sekundärvärme som används för produktion av NSSC-pumpmassa (exkl. renseri)</t>
  </si>
  <si>
    <t xml:space="preserve">del av gemensam värmeförbrukning (inkl. friblåsning och gemensam balanspost) som kan fördelas till produktion av NSSC-pumpmassa (exkl. renseri) baserat på rimliga antaganden och uppskattningar </t>
  </si>
  <si>
    <t>del av gemensam värmeförbrukning (inkl. friblåsning och gemensam balanspost) som kan fördelas till torkning av NSSC-pumpmassa till avsalumassa baserat på rimliga antaganden och uppskattningar</t>
  </si>
  <si>
    <t>bränsle som används för att producera värme i form av ånga eller hetvatten fördelad till produktion av NSSC-pumpmassa</t>
  </si>
  <si>
    <t>bränsle som används för att producera värme i form av ånga eller hetvatten fördelad till torkning av NSSC-pumpmassa till avsalumassa</t>
  </si>
  <si>
    <t>drivmedel och övrigt bränsle som används i verksamhet som kan hänföras till produktionen av NSSC-pumpmassa (exkl. renseri)</t>
  </si>
  <si>
    <t>fossilt bränsle som används för att producera värme i form av ånga eller hetvatten fördelad till produktion av NSSC-pumpmassa</t>
  </si>
  <si>
    <t>fossilt bränsle som används för att producera värme i form av ånga eller hetvatten fördelad till torkning av NSSC-pumpmassa till avsalumassa</t>
  </si>
  <si>
    <t>Förbrukning av fossilt bränsle för produktion av NSSC-pumpmassa</t>
  </si>
  <si>
    <t>fossilt drivmedel och övrigt bränsle som används i verksamhet som kan hänföras till produktionen av NSSC-pumpmassa (exl. renseri)</t>
  </si>
  <si>
    <t>Förbrukning av el för torkning av NSSC-avsalumassa</t>
  </si>
  <si>
    <t>uppmätt förbrukning av primärvärme för torkning av NSSC-avsalumassa</t>
  </si>
  <si>
    <t>Förbrukning av värme för torkning av NSSC-avsalumassa</t>
  </si>
  <si>
    <t>sekundärvärme som tillvaratas från torkningen av NSSC-avsalumassa</t>
  </si>
  <si>
    <t xml:space="preserve">	sekundärvärme som används för torkning av NSSC-avsalumassa</t>
  </si>
  <si>
    <t>Förbrukning av fossilt bränsle för torkning av NSSC-avsalumassa</t>
  </si>
  <si>
    <t>el tork NSSC gem</t>
  </si>
  <si>
    <t>el tork NSSC uppm</t>
  </si>
  <si>
    <t>el rens NSSC br</t>
  </si>
  <si>
    <t>el använd för värmeproduktion fördelad till produktion av NSSC- pumpmassa (exkl. renseri)</t>
  </si>
  <si>
    <t>el tork NSSC br</t>
  </si>
  <si>
    <t>el använd för värmeproduktion fördelad till torkning av NSSC- avsalumassa</t>
  </si>
  <si>
    <t xml:space="preserve">el gem förd tork NSSC </t>
  </si>
  <si>
    <t>el rens NSSC</t>
  </si>
  <si>
    <t>el rens NSSC uppm</t>
  </si>
  <si>
    <t>el gem förd rens NSSC</t>
  </si>
  <si>
    <t>El pump NSSC</t>
  </si>
  <si>
    <t>El tork NSSC</t>
  </si>
  <si>
    <t>q rens NSSC gem</t>
  </si>
  <si>
    <t>q fiber NSSC gem</t>
  </si>
  <si>
    <t>q tork NSSC gem</t>
  </si>
  <si>
    <t>q rens NSSC</t>
  </si>
  <si>
    <t>q fiber NSSC</t>
  </si>
  <si>
    <t>q fiber NSSC uppm</t>
  </si>
  <si>
    <t>q tork NSSC uppm</t>
  </si>
  <si>
    <t>Q pump NSSC</t>
  </si>
  <si>
    <t>Q tork NSSC</t>
  </si>
  <si>
    <t>q rens NSSC uppm</t>
  </si>
  <si>
    <t>q fiber NSSC→sek</t>
  </si>
  <si>
    <t>q tork NSSC→sek</t>
  </si>
  <si>
    <t>q sek→fiber NSSC</t>
  </si>
  <si>
    <t>q sek→tork NSSC</t>
  </si>
  <si>
    <t>q rens NSSC→sek</t>
  </si>
  <si>
    <t>q sek→rens NSSC</t>
  </si>
  <si>
    <t>q gem förd fiber NSSC</t>
  </si>
  <si>
    <t>q gem förd tork NSSC</t>
  </si>
  <si>
    <t>q gem förd rens NSSC</t>
  </si>
  <si>
    <t>br pump NSSC panna</t>
  </si>
  <si>
    <t>br tork NSSC panna</t>
  </si>
  <si>
    <t xml:space="preserve">br rens NSSC övr </t>
  </si>
  <si>
    <t>Br pump NSSC</t>
  </si>
  <si>
    <t>Br tork NSSC</t>
  </si>
  <si>
    <t>br tork NSSC dir</t>
  </si>
  <si>
    <t>br tork NSSC övr</t>
  </si>
  <si>
    <t>br pump NSSC panna fos</t>
  </si>
  <si>
    <t>br tork NSSC panna fos</t>
  </si>
  <si>
    <t>br rens NSSC övr fos</t>
  </si>
  <si>
    <t>br tork NSSC dir fos</t>
  </si>
  <si>
    <t>Br pump NSSC fos</t>
  </si>
  <si>
    <t>Br tork NSSC fos</t>
  </si>
  <si>
    <t>br tork NSSC övr fos</t>
  </si>
  <si>
    <t>Ma pump NSSC</t>
  </si>
  <si>
    <t>El tot uppm</t>
  </si>
  <si>
    <t>Total uppmätt förbrukning av el vid massabruket</t>
  </si>
  <si>
    <t>bränsle som används för att producera direktvärme vid produktion av NSSC-pumpmassa, t.ex. NSSC-massans andel av bränsle till mesaugnen</t>
  </si>
  <si>
    <t>Special-produkter</t>
  </si>
  <si>
    <t>Vedråvara</t>
  </si>
  <si>
    <t>[Kommentera ungefärlig andel av respektive råvara och fördelning per massatyp (om flera används)]</t>
  </si>
  <si>
    <t>Enhet</t>
  </si>
  <si>
    <t>Sulfatmassa</t>
  </si>
  <si>
    <t>NSSC-massa</t>
  </si>
  <si>
    <t>V3</t>
  </si>
  <si>
    <t>Vet tot</t>
  </si>
  <si>
    <t>ved/flis totalt</t>
  </si>
  <si>
    <t>Q47</t>
  </si>
  <si>
    <t>Ange kappatal i NSSC-massakoket</t>
  </si>
  <si>
    <t>Fyllmedel, bestrykning</t>
  </si>
  <si>
    <t>Massatyp</t>
  </si>
  <si>
    <r>
      <t xml:space="preserve">Ange vilken typ av vedråvara som används
</t>
    </r>
    <r>
      <rPr>
        <i/>
        <sz val="11"/>
        <rFont val="Calibri"/>
        <family val="2"/>
        <scheme val="minor"/>
      </rPr>
      <t>[Infoga rader efter behov (om flera typer av vedråvara)]</t>
    </r>
  </si>
  <si>
    <r>
      <t xml:space="preserve">Ange typ av massa
</t>
    </r>
    <r>
      <rPr>
        <i/>
        <sz val="11"/>
        <rFont val="Calibri"/>
        <family val="2"/>
        <scheme val="minor"/>
      </rPr>
      <t>[Infoga rader efter behov (om flera typer ]</t>
    </r>
  </si>
  <si>
    <r>
      <t xml:space="preserve">Ange vilken/vilka typ(er) av blekning som används, och massaproduktion av respektive typ
</t>
    </r>
    <r>
      <rPr>
        <i/>
        <sz val="11"/>
        <rFont val="Calibri"/>
        <family val="2"/>
        <scheme val="minor"/>
      </rPr>
      <t>[Infoga rader efter behov (om flera typer av blekning)]</t>
    </r>
  </si>
  <si>
    <t>Ange kappatal i sulfatmassakoket</t>
  </si>
  <si>
    <r>
      <t xml:space="preserve">Ange om fyllmedel eller bestrykningsmedel används (ökar pappersproduktionens vikt)
</t>
    </r>
    <r>
      <rPr>
        <i/>
        <sz val="11"/>
        <rFont val="Calibri"/>
        <family val="2"/>
        <scheme val="minor"/>
      </rPr>
      <t>[Infoga rader efter behov]</t>
    </r>
  </si>
  <si>
    <t>balanspost för el, avvikelse mellan tillförsel och uppmätt användning (inkluderar t.ex. förluster, ouppmätt förbrukning, mätfel osv)</t>
  </si>
  <si>
    <t xml:space="preserve">gemensam elförbrukning som fördelats till, eller med utgångspunkt från andel av uppmätt förbrukning hänförts tilltorkning av sulfat-pumpmassa till avsalumassa </t>
  </si>
  <si>
    <t>GJ/ADt+ton</t>
  </si>
  <si>
    <t>GJ/ton</t>
  </si>
  <si>
    <t>balanspost för primärvärme, avvikelse mellan produktion och uppmätt förbrukning (inkluderar förluster, ouppmätt förbrukning, mätfel osv)</t>
  </si>
  <si>
    <t>balanspost för sekundärvärme, avvikelse mellan summan av värNSSCällor och värmesänkor (hänförs till gemensamma funktioner)</t>
  </si>
  <si>
    <t>br uppsl panna fos</t>
  </si>
  <si>
    <t>br pa panna fos</t>
  </si>
  <si>
    <t>bark, spån och annat fast biobränsle</t>
  </si>
  <si>
    <t>fossilt bränsle som används för att producera direktvärme vid produktion av NSSC-pumpmassa, t.ex. NSSC-massans andel av bränsle till mesaugnen</t>
  </si>
  <si>
    <t>egengenererat biobränsle (t.ex. bark) som uppkommit utanför ”inre systemgräns” på bruket (dvs i vedhantering/renseri)</t>
  </si>
  <si>
    <t>Fasta biobränslen - övergripande balans</t>
  </si>
  <si>
    <t>egen produktion av sulfat-pumpmassa (inkl avsalumassa)</t>
  </si>
  <si>
    <t>egen produktion av NSSC-pumpmassa (inkl avsalumassa)</t>
  </si>
  <si>
    <t>Barr - rundved</t>
  </si>
  <si>
    <t>%</t>
  </si>
  <si>
    <t>Barr - flis</t>
  </si>
  <si>
    <t>Löv - rundved</t>
  </si>
  <si>
    <t>Pappersmassa</t>
  </si>
  <si>
    <t>ECF-blekt</t>
  </si>
  <si>
    <t>Oblekt</t>
  </si>
  <si>
    <t>Inköpta</t>
  </si>
  <si>
    <t>Förpackningskartong</t>
  </si>
  <si>
    <t>Wellpappmaterial</t>
  </si>
  <si>
    <t>Fyllmedel</t>
  </si>
  <si>
    <t>Mottryck</t>
  </si>
  <si>
    <t>11 och 3,5</t>
  </si>
  <si>
    <t>Ingen</t>
  </si>
  <si>
    <t>Inköpt kalk</t>
  </si>
  <si>
    <t>Ange om bränd kalk köps in på grund av begränsad kapacitet i mesaugnen. Ange andelen inköpt kalk av total kalkförbrukning.</t>
  </si>
  <si>
    <t>I huvudsak egenproducerad kalk</t>
  </si>
  <si>
    <t>vikt%</t>
  </si>
  <si>
    <t>[Om betydande mängd inköpt kalk, ange ungefärlig andel inköpt]</t>
  </si>
  <si>
    <t>el producerad som mottryckskraft i turbin vid bruket</t>
  </si>
  <si>
    <t>el prod kond</t>
  </si>
  <si>
    <t>el producerad som kondenskraft i turbin vid bruket</t>
  </si>
  <si>
    <t>Elförbrukning</t>
  </si>
  <si>
    <t xml:space="preserve"> - totalt för bruket per producerad mängd slutprodukt</t>
  </si>
  <si>
    <t xml:space="preserve"> - per producerad mängd sulfat-pumpmassa</t>
  </si>
  <si>
    <t xml:space="preserve"> - för torkning, per producerad sulfat-avsalumassa</t>
  </si>
  <si>
    <t xml:space="preserve"> - totalt per producerad mängd torkad sulfat-avsalumassa</t>
  </si>
  <si>
    <t xml:space="preserve"> - per producerad mängd NSSC-pumpmassa</t>
  </si>
  <si>
    <t xml:space="preserve"> - för torkning, per producerad NSSC-avsalumassa</t>
  </si>
  <si>
    <t>E45</t>
  </si>
  <si>
    <t>E46</t>
  </si>
  <si>
    <t xml:space="preserve"> - per producerad mängd torkad NSSC-avsalumassa</t>
  </si>
  <si>
    <t xml:space="preserve"> - per producerad mängd papper från pumpmassa</t>
  </si>
  <si>
    <t xml:space="preserve"> - per producerad mängd papper från inköpt massa</t>
  </si>
  <si>
    <t>sulfatmassaproduktionens del av gemensam elförbrukning som fördelats till renseriet</t>
  </si>
  <si>
    <t>NSSC-massaproduktionens del av gemensam elförbrukning som fördelats till renseriet</t>
  </si>
  <si>
    <t>E47</t>
  </si>
  <si>
    <t>E48</t>
  </si>
  <si>
    <t>el pump sulf uppm</t>
  </si>
  <si>
    <t>el pump NSSC uppm</t>
  </si>
  <si>
    <t>el gem förd pump sulf</t>
  </si>
  <si>
    <t xml:space="preserve">el gem förd pump NSSC </t>
  </si>
  <si>
    <t>el pump sulf br</t>
  </si>
  <si>
    <t>el pump NSSC br</t>
  </si>
  <si>
    <t>el pump sulf</t>
  </si>
  <si>
    <t>el pump NSSC</t>
  </si>
  <si>
    <t>E49</t>
  </si>
  <si>
    <t>E50</t>
  </si>
  <si>
    <t>E51</t>
  </si>
  <si>
    <t>E52</t>
  </si>
  <si>
    <t>E53</t>
  </si>
  <si>
    <t>E54</t>
  </si>
  <si>
    <t>E55</t>
  </si>
  <si>
    <t>E56</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</si>
  <si>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</si>
  <si>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</si>
  <si>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primärvärme som säljs till extern förbrukare</t>
  </si>
  <si>
    <t>raffinörsånga som säljs till extern förbrukare eller dumpas</t>
  </si>
  <si>
    <t>q prim kond</t>
  </si>
  <si>
    <t>ånga som används för produktion av kondensel</t>
  </si>
  <si>
    <t xml:space="preserve">  - totalt för bruket per producerad mängd slutprodukt</t>
  </si>
  <si>
    <t xml:space="preserve"> - per producerad mängd torkad sulfat-avsalumassa</t>
  </si>
  <si>
    <t xml:space="preserve"> - för torkning per producerad mängd sulfat-avsalumassa</t>
  </si>
  <si>
    <t xml:space="preserve"> - för torkning per producerad mängd NSSC-avsalumassa</t>
  </si>
  <si>
    <t>Värmeförbrukning</t>
  </si>
  <si>
    <t>Q48</t>
  </si>
  <si>
    <t>Q49</t>
  </si>
  <si>
    <t>egengenererad och inköpt bark och annat fast biobränsle</t>
  </si>
  <si>
    <t>br ext prim värme</t>
  </si>
  <si>
    <t>η kond</t>
  </si>
  <si>
    <t>verkningsgrad för barkpanna eller annan energipanna som producerar ånga för kondenselproduktion. Om inte verkningsgraden är känd för pannan sätts den schablonmässigt till 85 %.</t>
  </si>
  <si>
    <t>bränsle som använts för att producera kondensel</t>
  </si>
  <si>
    <t>br såld tall/terp</t>
  </si>
  <si>
    <t>såld tallolja och terpentin</t>
  </si>
  <si>
    <t xml:space="preserve">br pump sulf övr </t>
  </si>
  <si>
    <t xml:space="preserve">br pump NSSC övr </t>
  </si>
  <si>
    <t>br pump sulf dir</t>
  </si>
  <si>
    <t>br pump NSSC dir</t>
  </si>
  <si>
    <t>Br tot inre netto alt</t>
  </si>
  <si>
    <t>Br pump sulf alt</t>
  </si>
  <si>
    <t>Br pump NSSC alt</t>
  </si>
  <si>
    <t>Br tork sulf alt</t>
  </si>
  <si>
    <t>Br tork NSSC alt</t>
  </si>
  <si>
    <t>B36</t>
  </si>
  <si>
    <t>Br uppsl alt</t>
  </si>
  <si>
    <t>B37</t>
  </si>
  <si>
    <t>Br pa alt</t>
  </si>
  <si>
    <t>Förklaring: Bränsle för</t>
  </si>
  <si>
    <t xml:space="preserve"> - produktion av sulfat-pumpmassa</t>
  </si>
  <si>
    <t xml:space="preserve"> - produktion av NSSC-pumpmassa</t>
  </si>
  <si>
    <t xml:space="preserve"> - torkning av sulfat-avsalumassa</t>
  </si>
  <si>
    <t xml:space="preserve"> - torkning av NSSC-avsalumassa</t>
  </si>
  <si>
    <t xml:space="preserve"> -uppslagning av inköpt massa</t>
  </si>
  <si>
    <t xml:space="preserve"> - själva pappersproduktionen</t>
  </si>
  <si>
    <t>Summa förbrukning, inre systemgräns</t>
  </si>
  <si>
    <t xml:space="preserve"> - uppslagning av inköpt massa</t>
  </si>
  <si>
    <t xml:space="preserve"> -själva pappersproduktionen</t>
  </si>
  <si>
    <t>B38</t>
  </si>
  <si>
    <t>B39</t>
  </si>
  <si>
    <t>Bränsleförbrukning</t>
  </si>
  <si>
    <t>B40</t>
  </si>
  <si>
    <t>B41</t>
  </si>
  <si>
    <t>B42</t>
  </si>
  <si>
    <t xml:space="preserve"> - för torkning, per producerad mängd avsalumassa</t>
  </si>
  <si>
    <t>B43</t>
  </si>
  <si>
    <t>B44</t>
  </si>
  <si>
    <t>B45</t>
  </si>
  <si>
    <t xml:space="preserve"> - för torkning, per producerad mängd NSSC-massa</t>
  </si>
  <si>
    <t>B46</t>
  </si>
  <si>
    <t>B47</t>
  </si>
  <si>
    <t>B48</t>
  </si>
  <si>
    <t>B54</t>
  </si>
  <si>
    <t>B55</t>
  </si>
  <si>
    <t>B56</t>
  </si>
  <si>
    <t>B49</t>
  </si>
  <si>
    <t>B50</t>
  </si>
  <si>
    <t>B51</t>
  </si>
  <si>
    <t>B52</t>
  </si>
  <si>
    <t>B53</t>
  </si>
  <si>
    <t>η fos ext</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</si>
  <si>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</si>
  <si>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</si>
  <si>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</si>
  <si>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</si>
  <si>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F30</t>
  </si>
  <si>
    <t>Br tot fos alt</t>
  </si>
  <si>
    <t>Br pump sulf fos alt</t>
  </si>
  <si>
    <t>Br pump NSSC fos alt</t>
  </si>
  <si>
    <t>F31</t>
  </si>
  <si>
    <t>Br tork sulf fos alt</t>
  </si>
  <si>
    <t>F32</t>
  </si>
  <si>
    <t>Br tork NSSC fos alt</t>
  </si>
  <si>
    <t>F33</t>
  </si>
  <si>
    <t>Br uppsl fos alt</t>
  </si>
  <si>
    <t>F34</t>
  </si>
  <si>
    <t>Br pa fos alt</t>
  </si>
  <si>
    <t>br pump sulf dir fos</t>
  </si>
  <si>
    <t>br pump NSSC dir fos</t>
  </si>
  <si>
    <t xml:space="preserve">br pump sulf övr fos </t>
  </si>
  <si>
    <t>br pump NSSC övr fos</t>
  </si>
  <si>
    <t>Fossil bränsleförbrukning</t>
  </si>
  <si>
    <t>F35</t>
  </si>
  <si>
    <t>F36</t>
  </si>
  <si>
    <t>F37</t>
  </si>
  <si>
    <t>F38</t>
  </si>
  <si>
    <t>F39</t>
  </si>
  <si>
    <t xml:space="preserve"> - för torkning, per producerademängd sulfat-avsalumassa</t>
  </si>
  <si>
    <t xml:space="preserve"> - för torkning, per producerademängd NSSC-avsalumassa</t>
  </si>
  <si>
    <t>F40</t>
  </si>
  <si>
    <t>F41</t>
  </si>
  <si>
    <t>F42</t>
  </si>
  <si>
    <t>F44</t>
  </si>
  <si>
    <t>F45</t>
  </si>
  <si>
    <t>F46</t>
  </si>
  <si>
    <t>F47</t>
  </si>
  <si>
    <t>F48</t>
  </si>
  <si>
    <t>F49</t>
  </si>
  <si>
    <t>F50</t>
  </si>
  <si>
    <t>F51</t>
  </si>
  <si>
    <t>F43</t>
  </si>
  <si>
    <t>alt 0</t>
  </si>
  <si>
    <t>alt 1</t>
  </si>
  <si>
    <t>Ångproduktion från raffinörer</t>
  </si>
  <si>
    <t xml:space="preserve"> - producerad raffinörsånga per producerad mängd NSSC-pumpmassa</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</si>
  <si>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</si>
  <si>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</si>
  <si>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</si>
  <si>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</si>
  <si>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 xml:space="preserve"> - SULFAT- och NSSC-MASSA + PAPPER</t>
  </si>
  <si>
    <t>INTEGRERAT MASSA- OCH PAPPERSBRUK</t>
  </si>
  <si>
    <t>el prod mot</t>
  </si>
  <si>
    <t xml:space="preserve">summa egenproducerad värme exklusive raffinörer </t>
  </si>
  <si>
    <t>Summa bränsle direktvärme, inre systemgräns (beräknad från bränsleslag)</t>
  </si>
  <si>
    <t>Summa bränsle direktvärme, inre systemgräns (beräknad från ändamål)</t>
  </si>
  <si>
    <t>Summa drivmedel och övrigt bränsle (beräknad från bränsleslag)</t>
  </si>
  <si>
    <t>Summa drivmedel och övrigt bränsle (beräknad från ändamål)</t>
  </si>
  <si>
    <t>Summa bränsle direktvärme, yttre systemgräns (beräknad från bränsleslag)</t>
  </si>
  <si>
    <t>202X-XX-XX</t>
  </si>
  <si>
    <t>202X</t>
  </si>
  <si>
    <t>Br sålt inre</t>
  </si>
  <si>
    <t>Summa sålt energiprod som uppkommit inom inre systemgräns</t>
  </si>
  <si>
    <t>br sålt övr sulf</t>
  </si>
  <si>
    <t>övriga sålda energiprodukter från sulfatmassaproduktionen ( t ex lignin, metanol), exkl. bark och annat biobränsle som uppkommeri vedhantering/renseri</t>
  </si>
  <si>
    <t>övriga sålda energiprodukter från NSSC-massaproduktionen, exkl. bark och annat biobränsle som uppkommeri vedhantering/renseri</t>
  </si>
  <si>
    <t>br sålt övr NSSC</t>
  </si>
  <si>
    <t>br kondensel</t>
  </si>
  <si>
    <t>br kondensel fos</t>
  </si>
  <si>
    <t>Sålda energiprodukter, inre systemgräns</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</si>
  <si>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</si>
  <si>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</si>
  <si>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</si>
  <si>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</si>
  <si>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</si>
  <si>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</si>
  <si>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</si>
  <si>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</si>
  <si>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</si>
  <si>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</si>
  <si>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produktion av papper och kartong (säljbar produkt, före ev konvertering)</t>
  </si>
  <si>
    <t>q prim såld</t>
  </si>
  <si>
    <t>q raff såld</t>
  </si>
  <si>
    <t>q sek såld</t>
  </si>
  <si>
    <t>br såld prim värme</t>
  </si>
  <si>
    <t>br såld prim värme fos</t>
  </si>
  <si>
    <t>el ext</t>
  </si>
  <si>
    <t>el som används i egna processer utanför systemgränsen för konventionell massa-/pappersproduktion (t.ex. för papperskonvertering eller för upparbetning av biprodukter som lignin eller metanol)</t>
  </si>
  <si>
    <t>primärvärme som används i egna processer utanför systemgränsen för konventionell massa-/pappersproduktion (t.ex. för papperskonvertering eller för upparbetning av biprodukter som lignin eller metanol)</t>
  </si>
  <si>
    <t>sekundärvärme som används i egna processer utanför systemgränsen för konventionell massa-/pappersproduktion (t.ex. för papperskonvertering eller för upparbetning av biprodukter som lignin eller metanol)</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</si>
  <si>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</si>
  <si>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bränsle som använts för att producera primärvärme som levereras externt (t.ex. till fjärrvärme)</t>
  </si>
  <si>
    <t>bränsle som använts för att producera primärvärme som används vid bruket, men utanför systemgränsen för massa- och pappersproduktionen</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</si>
  <si>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</si>
  <si>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</si>
  <si>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</si>
  <si>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 xml:space="preserve"> Alternativ 0: värmeförbrukning inklusive raffinörsånga</t>
  </si>
  <si>
    <t xml:space="preserve"> Alternativ 1: exklusive raffinörsånga</t>
  </si>
  <si>
    <t>sekundärvärme som tillvaratas från produktionen av NSSC-pumpmassa (exkl. renseri). Exkl raffinörsånga</t>
  </si>
  <si>
    <t>ånga som produceras i ångomformare för ångåtervinning från raffinörer</t>
  </si>
  <si>
    <t>se PM avsnitt 2.4 'Värme' för ytterligare instruktioner om hur producerad och förbrukad ånga ska 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</si>
</sst>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2"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sz val="11"/>
      <color rgb="FF4B876C"/>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sz val="11"/>
      <color theme="1"/>
      <name val="Calibri"/>
      <family val="2"/>
    </font>
    <font>
      <b/>
      <sz val="11"/>
      <name val="Calibri"/>
      <family val="2"/>
      <scheme val="minor"/>
    </font>
    <font>
      <i/>
      <sz val="11"/>
      <color rgb="FFFF0000"/>
      <name val="Calibri"/>
      <family val="2"/>
      <scheme val="minor"/>
    </font>
    <font>
      <b/>
      <sz val="14"/>
      <color rgb="FFFF0000"/>
      <name val="Calibri"/>
      <family val="2"/>
      <scheme val="minor"/>
    </font>
    <font>
      <i/>
      <sz val="11"/>
      <name val="Calibri"/>
      <family val="2"/>
      <scheme val="minor"/>
    </font>
    <font>
      <b/>
      <sz val="18"/>
      <color theme="1"/>
      <name val="Calibri"/>
      <family val="2"/>
      <scheme val="minor"/>
    </font>
    <font>
      <b/>
      <sz val="18"/>
      <name val="Calibri"/>
      <family val="2"/>
      <scheme val="minor"/>
    </font>
    <font>
      <b/>
      <sz val="16"/>
      <color rgb="FF0070C0"/>
      <name val="Calibri"/>
      <family val="2"/>
      <scheme val="minor"/>
    </font>
    <font>
      <b/>
      <sz val="16"/>
      <name val="Calibri"/>
      <family val="2"/>
      <scheme val="minor"/>
    </font>
    <font>
      <b/>
      <sz val="12"/>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auto="1"/>
      </right>
      <top style="thin">
        <color auto="1"/>
      </top>
      <bottom style="thin">
        <color theme="0" tint="-0.1499679555650502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bottom/>
      <diagonal/>
    </border>
    <border>
      <left style="thin">
        <color theme="0" tint="-0.14996795556505021"/>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352">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0" fillId="5" borderId="0" xfId="0" applyFill="1" applyAlignment="1">
      <alignment wrapText="1"/>
    </xf>
    <xf numFmtId="0" fontId="1" fillId="5" borderId="0" xfId="0" applyFont="1" applyFill="1" applyAlignment="1">
      <alignment wrapText="1"/>
    </xf>
    <xf numFmtId="0" fontId="2" fillId="0" borderId="0" xfId="0" applyFont="1" applyAlignment="1">
      <alignment wrapText="1"/>
    </xf>
    <xf numFmtId="0" fontId="5" fillId="0" borderId="0" xfId="0" applyFont="1" applyAlignment="1">
      <alignment wrapText="1"/>
    </xf>
    <xf numFmtId="0" fontId="6" fillId="0" borderId="1" xfId="0" applyFont="1" applyBorder="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0" fontId="7" fillId="0" borderId="0" xfId="0" applyFont="1" applyAlignment="1">
      <alignment wrapText="1"/>
    </xf>
    <xf numFmtId="0" fontId="17" fillId="0" borderId="0" xfId="0" applyFont="1" applyAlignment="1">
      <alignment wrapText="1"/>
    </xf>
    <xf numFmtId="0" fontId="17"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3" fontId="10" fillId="0" borderId="0" xfId="0" applyNumberFormat="1" applyFont="1" applyAlignment="1">
      <alignment wrapText="1"/>
    </xf>
    <xf numFmtId="0" fontId="4" fillId="0" borderId="0" xfId="0" applyFont="1" applyAlignment="1">
      <alignment wrapText="1"/>
    </xf>
    <xf numFmtId="0" fontId="0" fillId="0" borderId="9" xfId="0" applyBorder="1" applyAlignment="1">
      <alignment wrapText="1"/>
    </xf>
    <xf numFmtId="0" fontId="0" fillId="0" borderId="11" xfId="0" applyBorder="1" applyAlignment="1">
      <alignment wrapText="1"/>
    </xf>
    <xf numFmtId="0" fontId="0" fillId="0" borderId="13" xfId="0" applyBorder="1" applyAlignment="1">
      <alignment wrapText="1"/>
    </xf>
    <xf numFmtId="0" fontId="8" fillId="0" borderId="0" xfId="0" applyFont="1" applyAlignment="1">
      <alignment wrapText="1"/>
    </xf>
    <xf numFmtId="0" fontId="1" fillId="0" borderId="8" xfId="0" applyFont="1" applyBorder="1" applyAlignment="1">
      <alignment wrapText="1"/>
    </xf>
    <xf numFmtId="0" fontId="1" fillId="0" borderId="9" xfId="0" applyFont="1" applyBorder="1" applyAlignment="1">
      <alignment wrapText="1"/>
    </xf>
    <xf numFmtId="0" fontId="0" fillId="0" borderId="0" xfId="0" applyAlignment="1">
      <alignment horizontal="center" wrapText="1"/>
    </xf>
    <xf numFmtId="0" fontId="1" fillId="0" borderId="19" xfId="0" applyFont="1" applyBorder="1" applyAlignment="1">
      <alignment wrapText="1"/>
    </xf>
    <xf numFmtId="0" fontId="1" fillId="0" borderId="20" xfId="0" applyFont="1" applyBorder="1" applyAlignment="1">
      <alignment wrapText="1"/>
    </xf>
    <xf numFmtId="0" fontId="19" fillId="0" borderId="9"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6" fillId="0" borderId="0" xfId="0" applyFont="1" applyAlignment="1">
      <alignment wrapText="1"/>
    </xf>
    <xf numFmtId="0" fontId="8" fillId="0" borderId="0" xfId="0" applyFont="1" applyAlignment="1">
      <alignment horizontal="right" wrapText="1"/>
    </xf>
    <xf numFmtId="3" fontId="0" fillId="0" borderId="0" xfId="0" applyNumberFormat="1" applyAlignment="1">
      <alignment wrapText="1"/>
    </xf>
    <xf numFmtId="2"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1" fontId="1" fillId="0" borderId="0" xfId="0" applyNumberFormat="1" applyFont="1" applyAlignment="1">
      <alignment wrapText="1"/>
    </xf>
    <xf numFmtId="0" fontId="1" fillId="0" borderId="19" xfId="0" applyFont="1" applyBorder="1" applyAlignment="1">
      <alignment horizontal="center" wrapText="1"/>
    </xf>
    <xf numFmtId="0" fontId="1" fillId="0" borderId="16" xfId="0" applyFont="1" applyBorder="1" applyAlignment="1">
      <alignment horizontal="center" wrapText="1"/>
    </xf>
    <xf numFmtId="0" fontId="0" fillId="0" borderId="11" xfId="0" applyBorder="1" applyAlignment="1">
      <alignment horizontal="center" wrapText="1"/>
    </xf>
    <xf numFmtId="164" fontId="0" fillId="4" borderId="12" xfId="0" applyNumberFormat="1" applyFill="1" applyBorder="1" applyAlignment="1">
      <alignment horizontal="right" wrapText="1"/>
    </xf>
    <xf numFmtId="164" fontId="0" fillId="4" borderId="14" xfId="0" applyNumberFormat="1" applyFill="1" applyBorder="1" applyAlignment="1">
      <alignment horizontal="right" wrapText="1"/>
    </xf>
    <xf numFmtId="164" fontId="0" fillId="4" borderId="10" xfId="0" applyNumberFormat="1" applyFill="1" applyBorder="1" applyAlignment="1">
      <alignment horizontal="right" wrapText="1"/>
    </xf>
    <xf numFmtId="1" fontId="0" fillId="4" borderId="12" xfId="0" applyNumberFormat="1" applyFill="1" applyBorder="1" applyAlignment="1">
      <alignment horizontal="right" wrapText="1"/>
    </xf>
    <xf numFmtId="1" fontId="0" fillId="4" borderId="14" xfId="0" applyNumberFormat="1" applyFill="1" applyBorder="1" applyAlignment="1">
      <alignment horizontal="right" wrapText="1"/>
    </xf>
    <xf numFmtId="0" fontId="0" fillId="0" borderId="8" xfId="0" applyBorder="1" applyAlignment="1">
      <alignment horizontal="center" wrapText="1"/>
    </xf>
    <xf numFmtId="3" fontId="10" fillId="3" borderId="10" xfId="0" applyNumberFormat="1" applyFont="1" applyFill="1" applyBorder="1" applyAlignment="1">
      <alignment horizontal="left" wrapText="1"/>
    </xf>
    <xf numFmtId="3" fontId="10" fillId="3" borderId="12" xfId="0" applyNumberFormat="1" applyFont="1" applyFill="1" applyBorder="1" applyAlignment="1">
      <alignment horizontal="left" wrapText="1"/>
    </xf>
    <xf numFmtId="0" fontId="0" fillId="0" borderId="13" xfId="0" applyBorder="1" applyAlignment="1">
      <alignment horizontal="center" wrapText="1"/>
    </xf>
    <xf numFmtId="3" fontId="0" fillId="4" borderId="14" xfId="0" applyNumberFormat="1" applyFill="1" applyBorder="1" applyAlignment="1">
      <alignment wrapText="1"/>
    </xf>
    <xf numFmtId="3" fontId="8" fillId="4" borderId="14" xfId="0" applyNumberFormat="1" applyFont="1" applyFill="1" applyBorder="1" applyAlignment="1">
      <alignment horizontal="right" wrapText="1"/>
    </xf>
    <xf numFmtId="3" fontId="10" fillId="3" borderId="14" xfId="0" applyNumberFormat="1" applyFont="1" applyFill="1" applyBorder="1" applyAlignment="1">
      <alignment horizontal="left" wrapText="1"/>
    </xf>
    <xf numFmtId="0" fontId="12" fillId="0" borderId="0" xfId="0" applyFont="1" applyAlignment="1">
      <alignment horizontal="left"/>
    </xf>
    <xf numFmtId="3" fontId="8" fillId="4" borderId="12" xfId="0" applyNumberFormat="1" applyFont="1" applyFill="1" applyBorder="1" applyAlignment="1">
      <alignment horizontal="right" wrapText="1"/>
    </xf>
    <xf numFmtId="3" fontId="0" fillId="4" borderId="12" xfId="0" applyNumberFormat="1" applyFill="1" applyBorder="1" applyAlignment="1">
      <alignment wrapText="1"/>
    </xf>
    <xf numFmtId="0" fontId="1" fillId="0" borderId="8" xfId="0" applyFont="1" applyBorder="1" applyAlignment="1">
      <alignment horizontal="center" wrapText="1"/>
    </xf>
    <xf numFmtId="0" fontId="1" fillId="0" borderId="10" xfId="0" applyFont="1" applyBorder="1" applyAlignment="1">
      <alignment horizontal="center" wrapText="1"/>
    </xf>
    <xf numFmtId="3" fontId="0" fillId="4" borderId="10" xfId="0" applyNumberFormat="1" applyFill="1" applyBorder="1" applyAlignment="1">
      <alignment horizontal="right" wrapText="1"/>
    </xf>
    <xf numFmtId="0" fontId="18" fillId="0" borderId="1" xfId="0" applyFont="1" applyBorder="1"/>
    <xf numFmtId="3" fontId="13" fillId="3" borderId="12" xfId="0" applyNumberFormat="1" applyFont="1" applyFill="1" applyBorder="1" applyAlignment="1">
      <alignment horizontal="left" wrapText="1"/>
    </xf>
    <xf numFmtId="4" fontId="10" fillId="3" borderId="12" xfId="0" applyNumberFormat="1" applyFont="1" applyFill="1" applyBorder="1" applyAlignment="1">
      <alignment horizontal="left" wrapText="1"/>
    </xf>
    <xf numFmtId="3" fontId="8" fillId="4" borderId="12" xfId="0" applyNumberFormat="1" applyFont="1" applyFill="1" applyBorder="1" applyAlignment="1">
      <alignment wrapText="1"/>
    </xf>
    <xf numFmtId="3" fontId="8" fillId="4" borderId="14" xfId="0" applyNumberFormat="1" applyFont="1" applyFill="1" applyBorder="1" applyAlignment="1">
      <alignment wrapText="1"/>
    </xf>
    <xf numFmtId="3" fontId="0" fillId="4" borderId="12" xfId="0" applyNumberFormat="1" applyFill="1" applyBorder="1" applyAlignment="1">
      <alignment horizontal="right" wrapText="1"/>
    </xf>
    <xf numFmtId="3" fontId="0" fillId="4" borderId="14" xfId="0" applyNumberFormat="1" applyFill="1" applyBorder="1" applyAlignment="1">
      <alignment horizontal="right" wrapText="1"/>
    </xf>
    <xf numFmtId="3" fontId="13" fillId="0" borderId="10" xfId="0" applyNumberFormat="1" applyFont="1" applyBorder="1" applyAlignment="1">
      <alignment wrapText="1"/>
    </xf>
    <xf numFmtId="3" fontId="8" fillId="2" borderId="14" xfId="0" applyNumberFormat="1" applyFont="1" applyFill="1" applyBorder="1" applyAlignment="1">
      <alignment wrapText="1"/>
    </xf>
    <xf numFmtId="3" fontId="8" fillId="0" borderId="10" xfId="0" applyNumberFormat="1" applyFont="1" applyBorder="1" applyAlignment="1">
      <alignment wrapText="1"/>
    </xf>
    <xf numFmtId="0" fontId="1" fillId="0" borderId="11" xfId="0" applyFont="1" applyBorder="1" applyAlignment="1">
      <alignment wrapText="1"/>
    </xf>
    <xf numFmtId="3" fontId="8" fillId="7" borderId="12" xfId="0" applyNumberFormat="1" applyFont="1" applyFill="1" applyBorder="1" applyAlignment="1">
      <alignment horizontal="left" wrapText="1"/>
    </xf>
    <xf numFmtId="4" fontId="13" fillId="3" borderId="12" xfId="0" applyNumberFormat="1" applyFont="1" applyFill="1" applyBorder="1" applyAlignment="1">
      <alignment horizontal="left" wrapText="1"/>
    </xf>
    <xf numFmtId="0" fontId="0" fillId="0" borderId="22" xfId="0" applyBorder="1"/>
    <xf numFmtId="0" fontId="0" fillId="0" borderId="21" xfId="0" applyBorder="1" applyAlignment="1">
      <alignment wrapText="1"/>
    </xf>
    <xf numFmtId="0" fontId="12" fillId="8" borderId="15" xfId="0" applyFont="1" applyFill="1" applyBorder="1"/>
    <xf numFmtId="0" fontId="0" fillId="0" borderId="0" xfId="0" applyAlignment="1">
      <alignment horizontal="left" wrapText="1"/>
    </xf>
    <xf numFmtId="0" fontId="0" fillId="0" borderId="19" xfId="0" applyBorder="1" applyAlignment="1">
      <alignment horizontal="center" wrapText="1"/>
    </xf>
    <xf numFmtId="0" fontId="0" fillId="0" borderId="20" xfId="0" applyBorder="1" applyAlignment="1">
      <alignment horizontal="right" wrapText="1"/>
    </xf>
    <xf numFmtId="3" fontId="0" fillId="4" borderId="16" xfId="0" applyNumberFormat="1" applyFill="1" applyBorder="1" applyAlignment="1">
      <alignment wrapText="1"/>
    </xf>
    <xf numFmtId="0" fontId="1" fillId="0" borderId="0" xfId="0" applyFont="1" applyAlignment="1">
      <alignment horizontal="center" wrapText="1"/>
    </xf>
    <xf numFmtId="0" fontId="1" fillId="0" borderId="0" xfId="0" applyFont="1" applyAlignment="1">
      <alignment horizontal="left" wrapText="1"/>
    </xf>
    <xf numFmtId="4" fontId="8" fillId="4" borderId="12" xfId="0" applyNumberFormat="1" applyFont="1" applyFill="1" applyBorder="1" applyAlignment="1">
      <alignment horizontal="right" wrapText="1"/>
    </xf>
    <xf numFmtId="0" fontId="8" fillId="0" borderId="0" xfId="0" applyFont="1" applyAlignment="1">
      <alignment horizontal="left" wrapText="1"/>
    </xf>
    <xf numFmtId="0" fontId="0" fillId="0" borderId="1" xfId="0" applyBorder="1" applyAlignment="1">
      <alignment horizontal="center" wrapText="1"/>
    </xf>
    <xf numFmtId="0" fontId="0" fillId="2" borderId="1" xfId="0" applyFill="1" applyBorder="1" applyAlignment="1">
      <alignment horizontal="right" wrapText="1"/>
    </xf>
    <xf numFmtId="3" fontId="8" fillId="2" borderId="14" xfId="0" applyNumberFormat="1" applyFont="1" applyFill="1" applyBorder="1" applyAlignment="1">
      <alignment horizontal="right" wrapText="1"/>
    </xf>
    <xf numFmtId="0" fontId="21" fillId="0" borderId="9" xfId="0" applyFont="1" applyBorder="1" applyAlignment="1">
      <alignment wrapText="1"/>
    </xf>
    <xf numFmtId="0" fontId="0" fillId="0" borderId="1" xfId="0" applyBorder="1" applyAlignment="1">
      <alignment horizontal="left" wrapText="1"/>
    </xf>
    <xf numFmtId="0" fontId="0" fillId="0" borderId="8" xfId="0" applyBorder="1" applyAlignment="1">
      <alignment wrapText="1"/>
    </xf>
    <xf numFmtId="3" fontId="8" fillId="4" borderId="16" xfId="0" applyNumberFormat="1" applyFont="1" applyFill="1" applyBorder="1" applyAlignment="1">
      <alignment wrapText="1"/>
    </xf>
    <xf numFmtId="0" fontId="1" fillId="0" borderId="0" xfId="0" applyFont="1"/>
    <xf numFmtId="0" fontId="21" fillId="0" borderId="9" xfId="0" applyFont="1" applyBorder="1" applyAlignment="1">
      <alignment horizontal="left" wrapText="1"/>
    </xf>
    <xf numFmtId="0" fontId="0" fillId="0" borderId="9" xfId="0" applyBorder="1" applyAlignment="1">
      <alignment horizontal="center" wrapText="1"/>
    </xf>
    <xf numFmtId="0" fontId="1" fillId="0" borderId="20" xfId="0" applyFont="1" applyBorder="1" applyAlignment="1">
      <alignment horizontal="center" wrapText="1"/>
    </xf>
    <xf numFmtId="0" fontId="0" fillId="0" borderId="12" xfId="0" applyBorder="1" applyAlignment="1">
      <alignment wrapText="1"/>
    </xf>
    <xf numFmtId="9" fontId="1" fillId="0" borderId="0" xfId="1" applyFont="1" applyFill="1" applyBorder="1" applyAlignment="1">
      <alignment wrapText="1"/>
    </xf>
    <xf numFmtId="164" fontId="0" fillId="0" borderId="9" xfId="0" applyNumberFormat="1" applyBorder="1" applyAlignment="1">
      <alignment horizontal="right" wrapText="1"/>
    </xf>
    <xf numFmtId="165" fontId="0" fillId="4" borderId="12" xfId="0" applyNumberFormat="1" applyFill="1" applyBorder="1" applyAlignment="1">
      <alignment wrapText="1"/>
    </xf>
    <xf numFmtId="3" fontId="8" fillId="0" borderId="0" xfId="0" applyNumberFormat="1" applyFont="1" applyAlignment="1">
      <alignment wrapText="1"/>
    </xf>
    <xf numFmtId="0" fontId="9" fillId="0" borderId="0" xfId="0" applyFont="1" applyAlignment="1">
      <alignment horizontal="left" wrapText="1"/>
    </xf>
    <xf numFmtId="3" fontId="10" fillId="0" borderId="23" xfId="0" applyNumberFormat="1" applyFont="1" applyBorder="1" applyAlignment="1">
      <alignment horizontal="left" wrapText="1"/>
    </xf>
    <xf numFmtId="0" fontId="0" fillId="0" borderId="24" xfId="0" applyBorder="1" applyAlignment="1">
      <alignment wrapText="1"/>
    </xf>
    <xf numFmtId="3" fontId="10" fillId="0" borderId="25" xfId="0" applyNumberFormat="1" applyFont="1" applyBorder="1" applyAlignment="1">
      <alignment horizontal="left" wrapText="1"/>
    </xf>
    <xf numFmtId="0" fontId="1" fillId="9" borderId="25" xfId="2" applyFont="1" applyBorder="1"/>
    <xf numFmtId="0" fontId="1" fillId="0" borderId="0" xfId="0" quotePrefix="1" applyFont="1"/>
    <xf numFmtId="3" fontId="10" fillId="3" borderId="25" xfId="0" applyNumberFormat="1" applyFont="1" applyFill="1" applyBorder="1" applyAlignment="1">
      <alignment horizontal="left" wrapText="1"/>
    </xf>
    <xf numFmtId="0" fontId="1" fillId="0" borderId="24" xfId="0" applyFont="1" applyBorder="1"/>
    <xf numFmtId="0" fontId="0" fillId="0" borderId="12" xfId="0" applyBorder="1"/>
    <xf numFmtId="0" fontId="1" fillId="0" borderId="26" xfId="2" applyFont="1" applyFill="1" applyBorder="1"/>
    <xf numFmtId="3" fontId="10" fillId="0" borderId="26" xfId="0" applyNumberFormat="1" applyFont="1" applyBorder="1" applyAlignment="1">
      <alignment horizontal="left" wrapText="1"/>
    </xf>
    <xf numFmtId="0" fontId="1" fillId="0" borderId="0" xfId="2" applyFont="1" applyFill="1" applyBorder="1"/>
    <xf numFmtId="0" fontId="0" fillId="0" borderId="27" xfId="0" applyBorder="1"/>
    <xf numFmtId="0" fontId="0" fillId="0" borderId="28" xfId="0" applyBorder="1" applyAlignment="1">
      <alignment wrapText="1"/>
    </xf>
    <xf numFmtId="0" fontId="12" fillId="8" borderId="15" xfId="0" applyFont="1" applyFill="1" applyBorder="1" applyAlignment="1">
      <alignment horizontal="left"/>
    </xf>
    <xf numFmtId="0" fontId="9" fillId="0" borderId="0" xfId="0" applyFont="1" applyAlignment="1">
      <alignment wrapText="1"/>
    </xf>
    <xf numFmtId="0" fontId="13" fillId="3" borderId="12" xfId="0" applyFont="1" applyFill="1" applyBorder="1" applyAlignment="1">
      <alignment horizontal="left" wrapText="1"/>
    </xf>
    <xf numFmtId="0" fontId="22" fillId="0" borderId="1" xfId="0" applyFont="1" applyBorder="1" applyAlignment="1">
      <alignment wrapText="1"/>
    </xf>
    <xf numFmtId="0" fontId="22" fillId="0" borderId="0" xfId="0" applyFont="1" applyAlignment="1">
      <alignment wrapText="1"/>
    </xf>
    <xf numFmtId="1" fontId="0" fillId="4" borderId="10" xfId="0" applyNumberFormat="1" applyFill="1" applyBorder="1" applyAlignment="1">
      <alignment horizontal="right" wrapText="1"/>
    </xf>
    <xf numFmtId="0" fontId="0" fillId="0" borderId="9" xfId="0" applyBorder="1" applyAlignment="1">
      <alignment horizontal="left" wrapText="1"/>
    </xf>
    <xf numFmtId="3" fontId="8" fillId="4" borderId="10" xfId="0" applyNumberFormat="1" applyFont="1" applyFill="1" applyBorder="1" applyAlignment="1">
      <alignment horizontal="right" wrapText="1"/>
    </xf>
    <xf numFmtId="164" fontId="0" fillId="4" borderId="12" xfId="0" applyNumberFormat="1" applyFill="1" applyBorder="1" applyAlignment="1">
      <alignment wrapText="1"/>
    </xf>
    <xf numFmtId="1" fontId="0" fillId="4" borderId="12" xfId="0" applyNumberFormat="1" applyFill="1" applyBorder="1" applyAlignment="1">
      <alignment wrapText="1"/>
    </xf>
    <xf numFmtId="0" fontId="0" fillId="0" borderId="9" xfId="0" applyBorder="1" applyAlignment="1">
      <alignment horizontal="right" wrapText="1"/>
    </xf>
    <xf numFmtId="165" fontId="0" fillId="4" borderId="12" xfId="0" applyNumberFormat="1" applyFill="1" applyBorder="1" applyAlignment="1">
      <alignment horizontal="right" wrapText="1"/>
    </xf>
    <xf numFmtId="165" fontId="0" fillId="4" borderId="14" xfId="0" applyNumberFormat="1" applyFill="1" applyBorder="1" applyAlignment="1">
      <alignment horizontal="right" wrapText="1"/>
    </xf>
    <xf numFmtId="0" fontId="8" fillId="0" borderId="9" xfId="0" applyFont="1" applyBorder="1" applyAlignment="1">
      <alignment wrapText="1"/>
    </xf>
    <xf numFmtId="0" fontId="1" fillId="0" borderId="12" xfId="0" applyFont="1" applyBorder="1" applyAlignment="1">
      <alignment horizontal="center" wrapText="1"/>
    </xf>
    <xf numFmtId="49" fontId="1" fillId="3" borderId="2" xfId="0" applyNumberFormat="1" applyFont="1" applyFill="1" applyBorder="1"/>
    <xf numFmtId="49" fontId="1" fillId="3" borderId="18"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3" fontId="10" fillId="3" borderId="23" xfId="0" applyNumberFormat="1" applyFont="1" applyFill="1" applyBorder="1" applyAlignment="1">
      <alignment horizontal="left" wrapText="1"/>
    </xf>
    <xf numFmtId="3" fontId="13" fillId="3" borderId="14" xfId="0" applyNumberFormat="1" applyFont="1" applyFill="1" applyBorder="1" applyAlignment="1">
      <alignment horizontal="left" wrapText="1"/>
    </xf>
    <xf numFmtId="0" fontId="1" fillId="0" borderId="23" xfId="0" applyFont="1" applyBorder="1"/>
    <xf numFmtId="0" fontId="9" fillId="0" borderId="30" xfId="0" applyFont="1" applyBorder="1" applyAlignment="1">
      <alignment wrapText="1"/>
    </xf>
    <xf numFmtId="0" fontId="23" fillId="0" borderId="1" xfId="0" quotePrefix="1" applyFont="1" applyBorder="1"/>
    <xf numFmtId="3" fontId="10" fillId="3" borderId="29" xfId="0" applyNumberFormat="1" applyFont="1" applyFill="1" applyBorder="1" applyAlignment="1">
      <alignment horizontal="left" wrapText="1"/>
    </xf>
    <xf numFmtId="0" fontId="1" fillId="0" borderId="1" xfId="0" applyFont="1" applyBorder="1"/>
    <xf numFmtId="3" fontId="10" fillId="0" borderId="29" xfId="0" applyNumberFormat="1" applyFont="1" applyBorder="1" applyAlignment="1">
      <alignment horizontal="left" wrapText="1"/>
    </xf>
    <xf numFmtId="0" fontId="0" fillId="0" borderId="30" xfId="0" applyBorder="1" applyAlignment="1">
      <alignment wrapText="1"/>
    </xf>
    <xf numFmtId="0" fontId="9" fillId="0" borderId="0" xfId="0" applyFont="1" applyAlignment="1">
      <alignment horizontal="center" wrapText="1"/>
    </xf>
    <xf numFmtId="0" fontId="17" fillId="0" borderId="24" xfId="0" applyFont="1" applyBorder="1" applyAlignment="1">
      <alignment wrapText="1"/>
    </xf>
    <xf numFmtId="3" fontId="17" fillId="0" borderId="25" xfId="0" applyNumberFormat="1" applyFont="1" applyBorder="1" applyAlignment="1">
      <alignment horizontal="left" wrapText="1"/>
    </xf>
    <xf numFmtId="0" fontId="17" fillId="0" borderId="0" xfId="0" applyFont="1"/>
    <xf numFmtId="0" fontId="1" fillId="9" borderId="31" xfId="2" applyFont="1" applyBorder="1" applyAlignment="1">
      <alignment horizontal="center" vertical="center"/>
    </xf>
    <xf numFmtId="0" fontId="8" fillId="0" borderId="1" xfId="0" applyFont="1" applyBorder="1" applyAlignment="1">
      <alignment horizontal="left" wrapText="1"/>
    </xf>
    <xf numFmtId="0" fontId="8" fillId="0" borderId="1" xfId="0" applyFont="1" applyBorder="1" applyAlignment="1">
      <alignment wrapText="1"/>
    </xf>
    <xf numFmtId="0" fontId="8" fillId="0" borderId="8"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25" fillId="0" borderId="0" xfId="0" applyFont="1"/>
    <xf numFmtId="0" fontId="17" fillId="0" borderId="24" xfId="0" quotePrefix="1" applyFont="1" applyBorder="1" applyAlignment="1">
      <alignment wrapText="1"/>
    </xf>
    <xf numFmtId="0" fontId="9" fillId="0" borderId="0" xfId="0" applyFont="1"/>
    <xf numFmtId="0" fontId="24" fillId="0" borderId="12" xfId="0" applyFont="1" applyBorder="1"/>
    <xf numFmtId="0" fontId="9" fillId="0" borderId="23" xfId="2" applyFont="1" applyFill="1" applyBorder="1"/>
    <xf numFmtId="3" fontId="17" fillId="0" borderId="23" xfId="0" applyNumberFormat="1" applyFont="1" applyBorder="1" applyAlignment="1">
      <alignment horizontal="left" wrapText="1"/>
    </xf>
    <xf numFmtId="0" fontId="1" fillId="9" borderId="26" xfId="2" applyFont="1" applyBorder="1"/>
    <xf numFmtId="0" fontId="0" fillId="0" borderId="24" xfId="0" quotePrefix="1" applyBorder="1" applyAlignment="1">
      <alignment wrapText="1"/>
    </xf>
    <xf numFmtId="3" fontId="10" fillId="3" borderId="26" xfId="0" applyNumberFormat="1" applyFont="1" applyFill="1" applyBorder="1" applyAlignment="1">
      <alignment horizontal="left" wrapText="1"/>
    </xf>
    <xf numFmtId="0" fontId="3" fillId="0" borderId="12" xfId="0" applyFont="1" applyBorder="1"/>
    <xf numFmtId="0" fontId="17" fillId="0" borderId="30" xfId="0" quotePrefix="1" applyFont="1" applyBorder="1" applyAlignment="1">
      <alignment wrapText="1"/>
    </xf>
    <xf numFmtId="0" fontId="24" fillId="0" borderId="14" xfId="0" applyFont="1" applyBorder="1"/>
    <xf numFmtId="0" fontId="1" fillId="0" borderId="24" xfId="2" applyFont="1" applyFill="1" applyBorder="1"/>
    <xf numFmtId="3" fontId="10" fillId="0" borderId="24" xfId="0" applyNumberFormat="1" applyFont="1" applyBorder="1" applyAlignment="1">
      <alignment horizontal="left" wrapText="1"/>
    </xf>
    <xf numFmtId="0" fontId="23" fillId="9" borderId="24" xfId="2" applyFont="1" applyBorder="1"/>
    <xf numFmtId="0" fontId="23" fillId="0" borderId="0" xfId="0" quotePrefix="1" applyFont="1"/>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left" wrapText="1"/>
    </xf>
    <xf numFmtId="0" fontId="26" fillId="0" borderId="12" xfId="0" applyFont="1" applyBorder="1" applyAlignment="1">
      <alignment horizontal="left" wrapText="1"/>
    </xf>
    <xf numFmtId="0" fontId="8" fillId="0" borderId="24" xfId="0" applyFont="1" applyBorder="1" applyAlignment="1">
      <alignment wrapText="1"/>
    </xf>
    <xf numFmtId="0" fontId="23" fillId="0" borderId="0" xfId="0" applyFont="1"/>
    <xf numFmtId="0" fontId="8" fillId="0" borderId="12" xfId="0" applyFont="1" applyBorder="1" applyAlignment="1">
      <alignment wrapText="1"/>
    </xf>
    <xf numFmtId="3" fontId="8" fillId="0" borderId="23" xfId="0" applyNumberFormat="1" applyFont="1" applyBorder="1" applyAlignment="1">
      <alignment horizontal="left" wrapText="1"/>
    </xf>
    <xf numFmtId="3" fontId="8" fillId="0" borderId="25" xfId="0" applyNumberFormat="1" applyFont="1" applyBorder="1" applyAlignment="1">
      <alignment horizontal="left" wrapText="1"/>
    </xf>
    <xf numFmtId="0" fontId="23" fillId="9" borderId="25" xfId="2" applyFont="1" applyBorder="1"/>
    <xf numFmtId="0" fontId="23" fillId="0" borderId="29" xfId="0" applyFont="1" applyBorder="1"/>
    <xf numFmtId="0" fontId="23" fillId="0" borderId="14" xfId="0" applyFont="1" applyBorder="1" applyAlignment="1">
      <alignment wrapText="1"/>
    </xf>
    <xf numFmtId="3" fontId="10" fillId="3" borderId="30" xfId="0" applyNumberFormat="1" applyFont="1" applyFill="1" applyBorder="1" applyAlignment="1">
      <alignment horizontal="left" wrapText="1"/>
    </xf>
    <xf numFmtId="0" fontId="1" fillId="0" borderId="32" xfId="0" applyFont="1" applyBorder="1"/>
    <xf numFmtId="0" fontId="3" fillId="0" borderId="14" xfId="0" applyFont="1" applyBorder="1" applyAlignment="1">
      <alignment wrapText="1"/>
    </xf>
    <xf numFmtId="0" fontId="9" fillId="0" borderId="26" xfId="0" applyFont="1" applyBorder="1"/>
    <xf numFmtId="0" fontId="23" fillId="0" borderId="9" xfId="0" applyFont="1" applyBorder="1"/>
    <xf numFmtId="0" fontId="8" fillId="0" borderId="10" xfId="0" applyFont="1" applyBorder="1" applyAlignment="1">
      <alignment wrapText="1"/>
    </xf>
    <xf numFmtId="0" fontId="23" fillId="0" borderId="26" xfId="0" applyFont="1" applyBorder="1"/>
    <xf numFmtId="0" fontId="1" fillId="0" borderId="33" xfId="0" applyFont="1" applyBorder="1"/>
    <xf numFmtId="0" fontId="23" fillId="9" borderId="29" xfId="2" applyFont="1" applyBorder="1"/>
    <xf numFmtId="0" fontId="23" fillId="0" borderId="1" xfId="0" applyFont="1" applyBorder="1"/>
    <xf numFmtId="0" fontId="8" fillId="0" borderId="20" xfId="0" applyFont="1" applyBorder="1" applyAlignment="1">
      <alignment horizontal="right" wrapText="1"/>
    </xf>
    <xf numFmtId="164" fontId="8" fillId="4" borderId="12" xfId="0" applyNumberFormat="1" applyFont="1" applyFill="1" applyBorder="1" applyAlignment="1">
      <alignment horizontal="right" wrapText="1"/>
    </xf>
    <xf numFmtId="0" fontId="23" fillId="0" borderId="6" xfId="0" applyFont="1" applyBorder="1" applyAlignment="1">
      <alignment wrapText="1"/>
    </xf>
    <xf numFmtId="1" fontId="8" fillId="4" borderId="12" xfId="0" applyNumberFormat="1" applyFont="1" applyFill="1" applyBorder="1" applyAlignment="1">
      <alignment horizontal="right" wrapText="1"/>
    </xf>
    <xf numFmtId="0" fontId="23" fillId="0" borderId="34" xfId="0" applyFont="1" applyBorder="1" applyAlignment="1">
      <alignment horizontal="center" wrapText="1"/>
    </xf>
    <xf numFmtId="0" fontId="26" fillId="0" borderId="35" xfId="0" applyFont="1" applyBorder="1" applyAlignment="1">
      <alignment horizontal="left" wrapText="1"/>
    </xf>
    <xf numFmtId="3" fontId="23" fillId="0" borderId="0" xfId="0" applyNumberFormat="1" applyFont="1" applyAlignment="1">
      <alignment horizontal="left" wrapText="1"/>
    </xf>
    <xf numFmtId="3" fontId="10" fillId="3" borderId="0" xfId="0" applyNumberFormat="1" applyFont="1" applyFill="1" applyAlignment="1">
      <alignment horizontal="left" wrapText="1"/>
    </xf>
    <xf numFmtId="3" fontId="23" fillId="0" borderId="0" xfId="0" quotePrefix="1" applyNumberFormat="1" applyFont="1" applyAlignment="1">
      <alignment horizontal="left"/>
    </xf>
    <xf numFmtId="3" fontId="1" fillId="0" borderId="32" xfId="0" applyNumberFormat="1" applyFont="1" applyBorder="1" applyAlignment="1">
      <alignment horizontal="left"/>
    </xf>
    <xf numFmtId="3" fontId="9" fillId="0" borderId="0" xfId="0" applyNumberFormat="1" applyFont="1" applyAlignment="1">
      <alignment horizontal="left" wrapText="1"/>
    </xf>
    <xf numFmtId="3" fontId="9" fillId="0" borderId="26" xfId="0" applyNumberFormat="1" applyFont="1" applyBorder="1" applyAlignment="1">
      <alignment horizontal="left"/>
    </xf>
    <xf numFmtId="3" fontId="1" fillId="0" borderId="23" xfId="0" applyNumberFormat="1" applyFont="1" applyBorder="1" applyAlignment="1">
      <alignment horizontal="left"/>
    </xf>
    <xf numFmtId="0" fontId="23" fillId="0" borderId="24" xfId="0" applyFont="1" applyBorder="1"/>
    <xf numFmtId="0" fontId="23" fillId="0" borderId="24" xfId="0" applyFont="1" applyBorder="1" applyAlignment="1">
      <alignment wrapText="1"/>
    </xf>
    <xf numFmtId="0" fontId="23" fillId="0" borderId="12" xfId="0" applyFont="1" applyBorder="1" applyAlignment="1">
      <alignment wrapText="1"/>
    </xf>
    <xf numFmtId="0" fontId="9" fillId="0" borderId="24" xfId="0" applyFont="1" applyBorder="1"/>
    <xf numFmtId="3" fontId="13" fillId="3" borderId="23" xfId="0" applyNumberFormat="1" applyFont="1" applyFill="1" applyBorder="1" applyAlignment="1">
      <alignment horizontal="left" wrapText="1"/>
    </xf>
    <xf numFmtId="0" fontId="13" fillId="3" borderId="0" xfId="0" quotePrefix="1" applyFont="1" applyFill="1" applyAlignment="1">
      <alignment horizontal="left"/>
    </xf>
    <xf numFmtId="0" fontId="12" fillId="0" borderId="36" xfId="0" applyFont="1" applyBorder="1" applyAlignment="1">
      <alignment wrapText="1"/>
    </xf>
    <xf numFmtId="0" fontId="0" fillId="0" borderId="37" xfId="0" applyBorder="1" applyAlignment="1">
      <alignment wrapText="1"/>
    </xf>
    <xf numFmtId="0" fontId="0" fillId="0" borderId="40" xfId="0" applyBorder="1" applyAlignment="1">
      <alignment wrapText="1"/>
    </xf>
    <xf numFmtId="0" fontId="12" fillId="0" borderId="36" xfId="0" applyFont="1" applyBorder="1"/>
    <xf numFmtId="0" fontId="8" fillId="0" borderId="9" xfId="0" applyFont="1" applyBorder="1" applyAlignment="1">
      <alignment horizontal="right" wrapText="1"/>
    </xf>
    <xf numFmtId="0" fontId="23" fillId="0" borderId="41" xfId="0" applyFont="1" applyBorder="1" applyAlignment="1">
      <alignment wrapText="1"/>
    </xf>
    <xf numFmtId="0" fontId="12" fillId="0" borderId="8" xfId="0" applyFont="1" applyBorder="1" applyAlignment="1">
      <alignment horizontal="right" wrapText="1"/>
    </xf>
    <xf numFmtId="14" fontId="29" fillId="3" borderId="10" xfId="0" applyNumberFormat="1" applyFont="1" applyFill="1" applyBorder="1" applyAlignment="1">
      <alignment horizontal="right"/>
    </xf>
    <xf numFmtId="0" fontId="12" fillId="0" borderId="13" xfId="0" applyFont="1" applyBorder="1" applyAlignment="1">
      <alignment horizontal="right" wrapText="1"/>
    </xf>
    <xf numFmtId="0" fontId="29" fillId="3" borderId="14" xfId="0" applyFont="1" applyFill="1" applyBorder="1" applyAlignment="1">
      <alignment horizontal="right"/>
    </xf>
    <xf numFmtId="0" fontId="23" fillId="9" borderId="30" xfId="2" applyFont="1" applyBorder="1" applyAlignment="1">
      <alignment wrapText="1"/>
    </xf>
    <xf numFmtId="3" fontId="14" fillId="3" borderId="0" xfId="0" quotePrefix="1" applyNumberFormat="1" applyFont="1" applyFill="1" applyAlignment="1">
      <alignment horizontal="left"/>
    </xf>
    <xf numFmtId="0" fontId="23" fillId="9" borderId="23" xfId="2" applyFont="1" applyBorder="1"/>
    <xf numFmtId="0" fontId="23" fillId="0" borderId="38" xfId="0" applyFont="1" applyBorder="1" applyAlignment="1">
      <alignment wrapText="1"/>
    </xf>
    <xf numFmtId="0" fontId="21" fillId="0" borderId="3" xfId="0" applyFont="1" applyBorder="1" applyAlignment="1">
      <alignment wrapText="1"/>
    </xf>
    <xf numFmtId="0" fontId="23" fillId="0" borderId="10" xfId="0" applyFont="1" applyBorder="1" applyAlignment="1">
      <alignment horizontal="center" wrapText="1"/>
    </xf>
    <xf numFmtId="0" fontId="23" fillId="0" borderId="4" xfId="0" applyFont="1" applyBorder="1" applyAlignment="1">
      <alignment horizontal="center" wrapText="1"/>
    </xf>
    <xf numFmtId="0" fontId="23" fillId="0" borderId="1" xfId="0" applyFont="1" applyBorder="1" applyAlignment="1">
      <alignment horizontal="center" wrapText="1"/>
    </xf>
    <xf numFmtId="0" fontId="23" fillId="0" borderId="14" xfId="0" applyFont="1" applyBorder="1" applyAlignment="1">
      <alignment horizontal="center" wrapText="1"/>
    </xf>
    <xf numFmtId="0" fontId="23" fillId="0" borderId="39" xfId="0" applyFont="1" applyBorder="1" applyAlignment="1">
      <alignment horizontal="center" wrapText="1"/>
    </xf>
    <xf numFmtId="0" fontId="23" fillId="0" borderId="3" xfId="0" applyFont="1" applyBorder="1" applyAlignment="1">
      <alignment wrapText="1"/>
    </xf>
    <xf numFmtId="2" fontId="23" fillId="6" borderId="12" xfId="0" applyNumberFormat="1" applyFont="1" applyFill="1" applyBorder="1" applyAlignment="1">
      <alignment wrapText="1"/>
    </xf>
    <xf numFmtId="2" fontId="23" fillId="6" borderId="4" xfId="0" applyNumberFormat="1" applyFont="1" applyFill="1" applyBorder="1" applyAlignment="1">
      <alignment wrapText="1"/>
    </xf>
    <xf numFmtId="2" fontId="23" fillId="6" borderId="12" xfId="0" applyNumberFormat="1" applyFont="1" applyFill="1" applyBorder="1" applyAlignment="1">
      <alignment horizontal="right" wrapText="1"/>
    </xf>
    <xf numFmtId="2" fontId="23" fillId="6" borderId="4" xfId="0" applyNumberFormat="1" applyFont="1" applyFill="1" applyBorder="1" applyAlignment="1">
      <alignment horizontal="right" wrapText="1"/>
    </xf>
    <xf numFmtId="0" fontId="23" fillId="0" borderId="3" xfId="0" applyFont="1" applyBorder="1" applyAlignment="1">
      <alignment horizontal="left" wrapText="1"/>
    </xf>
    <xf numFmtId="2" fontId="23" fillId="6" borderId="12" xfId="1" applyNumberFormat="1" applyFont="1" applyFill="1" applyBorder="1" applyAlignment="1">
      <alignment wrapText="1"/>
    </xf>
    <xf numFmtId="0" fontId="23" fillId="0" borderId="5" xfId="0" applyFont="1" applyBorder="1" applyAlignment="1">
      <alignment wrapText="1"/>
    </xf>
    <xf numFmtId="0" fontId="23" fillId="0" borderId="6" xfId="0" applyFont="1" applyBorder="1" applyAlignment="1">
      <alignment horizontal="center" wrapText="1"/>
    </xf>
    <xf numFmtId="166" fontId="23" fillId="6" borderId="41" xfId="1" applyNumberFormat="1" applyFont="1" applyFill="1" applyBorder="1" applyAlignment="1">
      <alignment wrapText="1"/>
    </xf>
    <xf numFmtId="0" fontId="8" fillId="0" borderId="0" xfId="0" applyFont="1" applyAlignment="1">
      <alignment horizontal="center" wrapText="1"/>
    </xf>
    <xf numFmtId="0" fontId="8" fillId="0" borderId="9" xfId="0" applyFont="1" applyBorder="1"/>
    <xf numFmtId="0" fontId="8" fillId="0" borderId="19" xfId="0" applyFont="1" applyBorder="1" applyAlignment="1">
      <alignment horizontal="center" wrapText="1"/>
    </xf>
    <xf numFmtId="0" fontId="8" fillId="0" borderId="20" xfId="0" applyFont="1" applyBorder="1" applyAlignment="1">
      <alignment wrapText="1"/>
    </xf>
    <xf numFmtId="0" fontId="30" fillId="0" borderId="36" xfId="0" applyFont="1" applyBorder="1"/>
    <xf numFmtId="0" fontId="8" fillId="0" borderId="37" xfId="0" applyFont="1" applyBorder="1" applyAlignment="1">
      <alignment wrapText="1"/>
    </xf>
    <xf numFmtId="0" fontId="8" fillId="0" borderId="40" xfId="0" applyFont="1" applyBorder="1" applyAlignment="1">
      <alignment wrapText="1"/>
    </xf>
    <xf numFmtId="0" fontId="23" fillId="0" borderId="3" xfId="0" applyFont="1" applyBorder="1"/>
    <xf numFmtId="0" fontId="8" fillId="0" borderId="4" xfId="0" applyFont="1" applyBorder="1" applyAlignment="1">
      <alignment wrapText="1"/>
    </xf>
    <xf numFmtId="0" fontId="23" fillId="0" borderId="38" xfId="0" applyFont="1" applyBorder="1"/>
    <xf numFmtId="0" fontId="8" fillId="0" borderId="1" xfId="0" applyFont="1" applyBorder="1" applyAlignment="1">
      <alignment vertical="center"/>
    </xf>
    <xf numFmtId="0" fontId="23" fillId="0" borderId="1" xfId="0" applyFont="1" applyBorder="1" applyAlignment="1">
      <alignment wrapText="1"/>
    </xf>
    <xf numFmtId="0" fontId="8" fillId="0" borderId="39" xfId="0" applyFont="1" applyBorder="1" applyAlignment="1">
      <alignment wrapText="1"/>
    </xf>
    <xf numFmtId="0" fontId="8" fillId="0" borderId="44" xfId="0" applyFont="1" applyBorder="1" applyAlignment="1">
      <alignment wrapText="1"/>
    </xf>
    <xf numFmtId="0" fontId="31" fillId="0" borderId="45" xfId="0" applyFont="1" applyBorder="1" applyAlignment="1">
      <alignment wrapText="1"/>
    </xf>
    <xf numFmtId="0" fontId="23" fillId="0" borderId="39" xfId="0" applyFont="1" applyBorder="1" applyAlignment="1">
      <alignment wrapText="1"/>
    </xf>
    <xf numFmtId="0" fontId="23" fillId="0" borderId="46" xfId="0" applyFont="1" applyBorder="1" applyAlignment="1">
      <alignment wrapText="1"/>
    </xf>
    <xf numFmtId="0" fontId="23" fillId="0" borderId="47" xfId="0" applyFont="1" applyBorder="1" applyAlignment="1">
      <alignment horizontal="left" wrapText="1"/>
    </xf>
    <xf numFmtId="0" fontId="8" fillId="0" borderId="6" xfId="0" applyFont="1" applyBorder="1" applyAlignment="1">
      <alignment horizontal="center" wrapText="1"/>
    </xf>
    <xf numFmtId="0" fontId="8" fillId="0" borderId="6" xfId="0" applyFont="1" applyBorder="1" applyAlignment="1">
      <alignment wrapText="1"/>
    </xf>
    <xf numFmtId="0" fontId="8" fillId="0" borderId="7" xfId="0" applyFont="1" applyBorder="1" applyAlignment="1">
      <alignment wrapText="1"/>
    </xf>
    <xf numFmtId="0" fontId="30" fillId="0" borderId="2" xfId="0" applyFont="1" applyBorder="1"/>
    <xf numFmtId="0" fontId="8" fillId="0" borderId="17" xfId="0" applyFont="1" applyBorder="1" applyAlignment="1">
      <alignment vertical="center"/>
    </xf>
    <xf numFmtId="0" fontId="8" fillId="0" borderId="17" xfId="0" applyFont="1" applyBorder="1" applyAlignment="1">
      <alignment wrapText="1"/>
    </xf>
    <xf numFmtId="0" fontId="8" fillId="0" borderId="18" xfId="0" applyFont="1" applyBorder="1" applyAlignment="1">
      <alignment wrapText="1"/>
    </xf>
    <xf numFmtId="2" fontId="23" fillId="6" borderId="7" xfId="0" applyNumberFormat="1" applyFont="1" applyFill="1" applyBorder="1" applyAlignment="1">
      <alignment wrapText="1"/>
    </xf>
    <xf numFmtId="165" fontId="13" fillId="3" borderId="12" xfId="0" applyNumberFormat="1" applyFont="1" applyFill="1" applyBorder="1" applyAlignment="1">
      <alignment horizontal="left" wrapText="1"/>
    </xf>
    <xf numFmtId="3" fontId="13" fillId="3" borderId="16" xfId="0" applyNumberFormat="1" applyFont="1" applyFill="1" applyBorder="1" applyAlignment="1">
      <alignment horizontal="left" wrapText="1"/>
    </xf>
    <xf numFmtId="0" fontId="8" fillId="0" borderId="1" xfId="0" applyFont="1" applyBorder="1" applyAlignment="1">
      <alignment horizontal="center" wrapText="1"/>
    </xf>
    <xf numFmtId="0" fontId="8" fillId="0" borderId="11" xfId="0" applyFont="1" applyBorder="1" applyAlignment="1">
      <alignment wrapText="1"/>
    </xf>
    <xf numFmtId="0" fontId="23" fillId="0" borderId="19" xfId="0" applyFont="1" applyBorder="1" applyAlignment="1">
      <alignment horizontal="center" wrapText="1"/>
    </xf>
    <xf numFmtId="0" fontId="23" fillId="0" borderId="20" xfId="0" applyFont="1" applyBorder="1" applyAlignment="1">
      <alignment wrapText="1"/>
    </xf>
    <xf numFmtId="0" fontId="8" fillId="0" borderId="11" xfId="0" applyFont="1" applyBorder="1" applyAlignment="1">
      <alignment horizontal="center" vertical="center" wrapText="1"/>
    </xf>
    <xf numFmtId="0" fontId="23" fillId="0" borderId="13" xfId="0" applyFont="1" applyBorder="1" applyAlignment="1">
      <alignment horizontal="center" wrapText="1"/>
    </xf>
    <xf numFmtId="0" fontId="8" fillId="0" borderId="20" xfId="0" applyFont="1" applyBorder="1" applyAlignment="1">
      <alignment horizontal="left" wrapText="1"/>
    </xf>
    <xf numFmtId="0" fontId="8" fillId="0" borderId="10" xfId="0" applyFont="1" applyBorder="1" applyAlignment="1">
      <alignment vertical="center"/>
    </xf>
    <xf numFmtId="0" fontId="23" fillId="0" borderId="45" xfId="0" applyFont="1" applyBorder="1" applyAlignment="1">
      <alignment wrapText="1"/>
    </xf>
    <xf numFmtId="0" fontId="23" fillId="0" borderId="47" xfId="0" applyFont="1" applyBorder="1" applyAlignment="1">
      <alignment wrapText="1"/>
    </xf>
    <xf numFmtId="2" fontId="23" fillId="6" borderId="7" xfId="0" applyNumberFormat="1" applyFont="1" applyFill="1" applyBorder="1" applyAlignment="1">
      <alignment horizontal="right" wrapText="1"/>
    </xf>
    <xf numFmtId="0" fontId="8" fillId="0" borderId="9" xfId="0" applyFont="1" applyBorder="1" applyAlignment="1">
      <alignment horizontal="left" wrapText="1"/>
    </xf>
    <xf numFmtId="4" fontId="8" fillId="4" borderId="14" xfId="0" applyNumberFormat="1" applyFont="1" applyFill="1" applyBorder="1" applyAlignment="1">
      <alignment horizontal="right" wrapText="1"/>
    </xf>
    <xf numFmtId="165" fontId="8" fillId="4" borderId="14" xfId="0" applyNumberFormat="1" applyFont="1" applyFill="1" applyBorder="1" applyAlignment="1">
      <alignment horizontal="right" wrapText="1"/>
    </xf>
    <xf numFmtId="0" fontId="27" fillId="0" borderId="0" xfId="0" applyFont="1" applyAlignment="1">
      <alignment horizontal="right" wrapText="1"/>
    </xf>
    <xf numFmtId="14" fontId="28" fillId="0" borderId="0" xfId="0" applyNumberFormat="1" applyFont="1"/>
    <xf numFmtId="0" fontId="1" fillId="5" borderId="0" xfId="0" applyFont="1" applyFill="1"/>
    <xf numFmtId="0" fontId="5" fillId="5" borderId="0" xfId="0" applyFont="1" applyFill="1" applyAlignment="1">
      <alignment wrapText="1"/>
    </xf>
    <xf numFmtId="0" fontId="12" fillId="0" borderId="19" xfId="0" applyFont="1" applyBorder="1" applyAlignment="1">
      <alignment horizontal="right" wrapText="1"/>
    </xf>
    <xf numFmtId="14" fontId="30" fillId="0" borderId="16" xfId="0" applyNumberFormat="1" applyFont="1" applyBorder="1"/>
    <xf numFmtId="0" fontId="19" fillId="0" borderId="8" xfId="0" applyFont="1" applyBorder="1" applyAlignment="1">
      <alignment wrapText="1"/>
    </xf>
    <xf numFmtId="0" fontId="19" fillId="0" borderId="10" xfId="0" applyFont="1" applyBorder="1" applyAlignment="1">
      <alignment wrapText="1"/>
    </xf>
    <xf numFmtId="0" fontId="26" fillId="0" borderId="0" xfId="0" applyFont="1" applyAlignment="1">
      <alignment wrapText="1"/>
    </xf>
    <xf numFmtId="0" fontId="31" fillId="0" borderId="42" xfId="0" applyFont="1" applyBorder="1" applyAlignment="1">
      <alignment horizontal="left" wrapText="1"/>
    </xf>
    <xf numFmtId="0" fontId="31" fillId="0" borderId="9" xfId="0" applyFont="1" applyBorder="1" applyAlignment="1">
      <alignment horizontal="left" wrapText="1"/>
    </xf>
    <xf numFmtId="0" fontId="31" fillId="0" borderId="43" xfId="0" applyFont="1" applyBorder="1" applyAlignment="1">
      <alignment horizontal="left" wrapText="1"/>
    </xf>
    <xf numFmtId="0" fontId="31" fillId="0" borderId="38" xfId="0" applyFont="1" applyBorder="1" applyAlignment="1">
      <alignment wrapText="1"/>
    </xf>
    <xf numFmtId="0" fontId="8" fillId="0" borderId="1" xfId="0" applyFont="1" applyBorder="1" applyAlignment="1">
      <alignment wrapText="1"/>
    </xf>
    <xf numFmtId="0" fontId="8" fillId="0" borderId="39" xfId="0" applyFont="1" applyBorder="1" applyAlignment="1">
      <alignment wrapText="1"/>
    </xf>
    <xf numFmtId="0" fontId="1" fillId="0" borderId="42" xfId="0" applyFont="1" applyBorder="1" applyAlignment="1">
      <alignment wrapText="1"/>
    </xf>
    <xf numFmtId="0" fontId="0" fillId="0" borderId="9" xfId="0" applyBorder="1" applyAlignment="1">
      <alignment wrapText="1"/>
    </xf>
    <xf numFmtId="0" fontId="0" fillId="0" borderId="43" xfId="0" applyBorder="1" applyAlignment="1">
      <alignment wrapText="1"/>
    </xf>
    <xf numFmtId="0" fontId="23" fillId="0" borderId="38" xfId="0" applyFont="1" applyBorder="1" applyAlignment="1">
      <alignment wrapText="1"/>
    </xf>
    <xf numFmtId="0" fontId="9" fillId="0" borderId="0" xfId="0" applyFont="1" applyAlignment="1">
      <alignment wrapText="1"/>
    </xf>
    <xf numFmtId="0" fontId="0" fillId="0" borderId="0" xfId="0" applyAlignment="1">
      <alignment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6" xfId="0" applyFont="1" applyBorder="1" applyAlignment="1">
      <alignment horizontal="left" wrapText="1"/>
    </xf>
    <xf numFmtId="0" fontId="21" fillId="0" borderId="19" xfId="0" applyFont="1" applyBorder="1" applyAlignment="1">
      <alignment wrapText="1"/>
    </xf>
    <xf numFmtId="0" fontId="0" fillId="0" borderId="20" xfId="0" applyBorder="1" applyAlignment="1">
      <alignment wrapText="1"/>
    </xf>
    <xf numFmtId="0" fontId="0" fillId="0" borderId="16" xfId="0" applyBorder="1" applyAlignment="1">
      <alignmen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0" xfId="0" applyFont="1" applyFill="1" applyAlignment="1">
      <alignment horizontal="left" vertical="top"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4" xfId="0" applyFont="1" applyFill="1" applyBorder="1" applyAlignment="1">
      <alignment horizontal="left" vertical="top"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 xfId="0" applyFill="1" applyBorder="1" applyAlignment="1">
      <alignment horizontal="left" wrapText="1"/>
    </xf>
    <xf numFmtId="0" fontId="0" fillId="3" borderId="14" xfId="0" applyFill="1" applyBorder="1" applyAlignment="1">
      <alignment horizontal="left" wrapText="1"/>
    </xf>
    <xf numFmtId="0" fontId="23" fillId="0" borderId="9" xfId="0" applyFont="1" applyBorder="1" applyAlignment="1">
      <alignment wrapText="1"/>
    </xf>
    <xf numFmtId="0" fontId="0" fillId="0" borderId="10" xfId="0" applyBorder="1" applyAlignment="1">
      <alignment wrapText="1"/>
    </xf>
    <xf numFmtId="0" fontId="23" fillId="0" borderId="8" xfId="0" applyFont="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8" xfId="0" applyFont="1" applyBorder="1" applyAlignment="1">
      <alignment wrapText="1"/>
    </xf>
    <xf numFmtId="2" fontId="23" fillId="6" borderId="12" xfId="1" applyNumberFormat="1" applyFont="1" applyFill="1" applyBorder="1" applyAlignment="1">
      <alignment horizontal="right" wrapText="1"/>
    </xf>
    <xf numFmtId="2" fontId="23" fillId="6" borderId="4" xfId="1" applyNumberFormat="1" applyFont="1" applyFill="1" applyBorder="1" applyAlignment="1">
      <alignment horizontal="right" wrapText="1"/>
    </xf>
    <xf numFmtId="166" fontId="23" fillId="6" borderId="7" xfId="1" applyNumberFormat="1" applyFont="1" applyFill="1" applyBorder="1" applyAlignment="1">
      <alignment horizontal="right" wrapText="1"/>
    </xf>
    <xf numFmtId="2" fontId="8" fillId="6" borderId="12" xfId="0" applyNumberFormat="1" applyFont="1" applyFill="1" applyBorder="1" applyAlignment="1">
      <alignment horizontal="right" wrapText="1"/>
    </xf>
    <xf numFmtId="2" fontId="23" fillId="6" borderId="41" xfId="0" applyNumberFormat="1" applyFont="1" applyFill="1" applyBorder="1" applyAlignment="1">
      <alignment horizontal="right" wrapText="1"/>
    </xf>
    <xf numFmtId="164" fontId="23" fillId="6" borderId="12" xfId="0" applyNumberFormat="1" applyFont="1" applyFill="1" applyBorder="1" applyAlignment="1">
      <alignment horizontal="right" wrapText="1"/>
    </xf>
    <xf numFmtId="164" fontId="23" fillId="6" borderId="41" xfId="0" applyNumberFormat="1" applyFont="1" applyFill="1" applyBorder="1" applyAlignment="1">
      <alignment horizontal="righ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61"/>
  <sheetViews>
    <sheetView tabSelected="1" topLeftCell="B1" zoomScale="85" zoomScaleNormal="85" workbookViewId="0">
      <selection activeCell="L229" sqref="L229"/>
    </sheetView>
  </sheetViews>
  <sheetFormatPr defaultColWidth="8.85546875" defaultRowHeight="15" x14ac:dyDescent="0.25"/>
  <cols>
    <col min="1" max="1" width="13.42578125" style="2" customWidth="1"/>
    <col min="2" max="2" width="19.85546875" style="2" bestFit="1" customWidth="1"/>
    <col min="3" max="3" width="58.5703125" style="2" customWidth="1"/>
    <col min="4" max="4" width="20" style="2" customWidth="1"/>
    <col min="5" max="5" width="2" style="2" customWidth="1"/>
    <col min="6" max="6" width="11.140625" style="2" customWidth="1"/>
    <col min="7" max="7" width="18.85546875" style="2" customWidth="1"/>
    <col min="8" max="8" width="63.42578125" style="2" customWidth="1"/>
    <col min="9" max="9" width="13.5703125" style="2" customWidth="1"/>
    <col min="10" max="10" width="3" style="2" customWidth="1"/>
    <col min="11" max="11" width="46.140625" style="2" customWidth="1"/>
    <col min="12" max="13" width="13" style="2" bestFit="1" customWidth="1"/>
    <col min="14" max="14" width="8.85546875" style="2"/>
    <col min="15" max="15" width="11.5703125" style="2" customWidth="1"/>
    <col min="16" max="16384" width="8.85546875" style="2"/>
  </cols>
  <sheetData>
    <row r="1" spans="1:9" ht="21" x14ac:dyDescent="0.35">
      <c r="A1" s="26"/>
      <c r="C1" s="295" t="s">
        <v>815</v>
      </c>
      <c r="D1" s="296">
        <v>45846</v>
      </c>
    </row>
    <row r="2" spans="1:9" ht="23.25" x14ac:dyDescent="0.35">
      <c r="A2" s="26"/>
      <c r="C2" s="291"/>
      <c r="D2" s="292"/>
    </row>
    <row r="3" spans="1:9" ht="24" x14ac:dyDescent="0.4">
      <c r="A3" s="1" t="s">
        <v>820</v>
      </c>
      <c r="C3" s="8"/>
    </row>
    <row r="4" spans="1:9" ht="24" x14ac:dyDescent="0.4">
      <c r="A4" s="1" t="s">
        <v>819</v>
      </c>
      <c r="C4" s="8"/>
    </row>
    <row r="5" spans="1:9" ht="19.5" thickBot="1" x14ac:dyDescent="0.35">
      <c r="D5" s="161"/>
      <c r="E5" s="14"/>
      <c r="F5" s="14"/>
    </row>
    <row r="6" spans="1:9" ht="21.75" thickBot="1" x14ac:dyDescent="0.4">
      <c r="A6" s="74" t="s">
        <v>2</v>
      </c>
      <c r="B6" s="75"/>
      <c r="C6" s="76" t="s">
        <v>517</v>
      </c>
      <c r="G6" s="130" t="s">
        <v>0</v>
      </c>
      <c r="H6" s="131"/>
    </row>
    <row r="7" spans="1:9" ht="21.75" thickBot="1" x14ac:dyDescent="0.4">
      <c r="A7" s="113" t="s">
        <v>4</v>
      </c>
      <c r="B7" s="114"/>
      <c r="C7" s="115" t="s">
        <v>5</v>
      </c>
      <c r="G7" s="132" t="s">
        <v>1</v>
      </c>
      <c r="H7" s="133"/>
    </row>
    <row r="8" spans="1:9" x14ac:dyDescent="0.25">
      <c r="G8" s="134" t="s">
        <v>3</v>
      </c>
      <c r="H8" s="135"/>
      <c r="I8" s="9"/>
    </row>
    <row r="9" spans="1:9" ht="21" x14ac:dyDescent="0.35">
      <c r="C9" s="225" t="s">
        <v>816</v>
      </c>
      <c r="D9" s="226" t="s">
        <v>828</v>
      </c>
      <c r="G9" s="136" t="s">
        <v>6</v>
      </c>
      <c r="H9" s="137"/>
      <c r="I9" s="9"/>
    </row>
    <row r="10" spans="1:9" ht="21" x14ac:dyDescent="0.35">
      <c r="C10" s="227" t="s">
        <v>817</v>
      </c>
      <c r="D10" s="228" t="s">
        <v>829</v>
      </c>
      <c r="G10" s="138" t="s">
        <v>7</v>
      </c>
      <c r="H10" s="139"/>
      <c r="I10" s="9"/>
    </row>
    <row r="11" spans="1:9" ht="15.75" thickBot="1" x14ac:dyDescent="0.3">
      <c r="G11" s="140" t="s">
        <v>8</v>
      </c>
      <c r="H11" s="141"/>
      <c r="I11" s="9"/>
    </row>
    <row r="12" spans="1:9" ht="30" customHeight="1" x14ac:dyDescent="0.25">
      <c r="A12" s="310" t="s">
        <v>818</v>
      </c>
      <c r="B12" s="311"/>
      <c r="C12" s="311"/>
      <c r="D12" s="311"/>
      <c r="E12" s="311"/>
      <c r="F12" s="311"/>
      <c r="G12" s="112"/>
      <c r="H12" s="112"/>
      <c r="I12" s="9"/>
    </row>
    <row r="13" spans="1:9" x14ac:dyDescent="0.25">
      <c r="G13" s="112"/>
      <c r="H13" s="112"/>
      <c r="I13" s="9"/>
    </row>
    <row r="14" spans="1:9" ht="21" x14ac:dyDescent="0.35">
      <c r="A14" s="5" t="s">
        <v>9</v>
      </c>
      <c r="G14" s="92"/>
    </row>
    <row r="15" spans="1:9" x14ac:dyDescent="0.25">
      <c r="A15" s="27" t="s">
        <v>10</v>
      </c>
      <c r="B15" s="28"/>
      <c r="C15" s="28" t="s">
        <v>11</v>
      </c>
      <c r="D15" s="95"/>
      <c r="E15" s="95"/>
      <c r="F15" s="95" t="s">
        <v>12</v>
      </c>
      <c r="G15" s="95" t="s">
        <v>622</v>
      </c>
      <c r="H15" s="41" t="s">
        <v>13</v>
      </c>
    </row>
    <row r="16" spans="1:9" ht="30" x14ac:dyDescent="0.25">
      <c r="A16" s="23" t="s">
        <v>623</v>
      </c>
      <c r="B16" s="23" t="s">
        <v>620</v>
      </c>
      <c r="C16" s="23" t="s">
        <v>632</v>
      </c>
      <c r="D16" s="175" t="s">
        <v>651</v>
      </c>
      <c r="E16" s="204"/>
      <c r="F16" s="230">
        <v>50</v>
      </c>
      <c r="G16" s="231" t="s">
        <v>652</v>
      </c>
      <c r="H16" s="205" t="s">
        <v>621</v>
      </c>
    </row>
    <row r="17" spans="1:8" ht="30" x14ac:dyDescent="0.25">
      <c r="A17" s="23" t="s">
        <v>623</v>
      </c>
      <c r="B17" s="23" t="s">
        <v>620</v>
      </c>
      <c r="C17" s="23" t="s">
        <v>632</v>
      </c>
      <c r="D17" s="175" t="s">
        <v>653</v>
      </c>
      <c r="E17" s="204"/>
      <c r="F17" s="230">
        <v>20</v>
      </c>
      <c r="G17" s="187" t="s">
        <v>652</v>
      </c>
      <c r="H17" s="205" t="s">
        <v>621</v>
      </c>
    </row>
    <row r="18" spans="1:8" ht="30" x14ac:dyDescent="0.25">
      <c r="A18" s="23" t="s">
        <v>623</v>
      </c>
      <c r="B18" s="23" t="s">
        <v>620</v>
      </c>
      <c r="C18" s="23" t="s">
        <v>632</v>
      </c>
      <c r="D18" s="175" t="s">
        <v>654</v>
      </c>
      <c r="E18" s="204"/>
      <c r="F18" s="230">
        <v>30</v>
      </c>
      <c r="G18" s="187" t="s">
        <v>652</v>
      </c>
      <c r="H18" s="205" t="s">
        <v>621</v>
      </c>
    </row>
    <row r="19" spans="1:8" x14ac:dyDescent="0.25">
      <c r="A19" s="23"/>
      <c r="B19" s="177"/>
      <c r="C19" s="177"/>
      <c r="D19" s="178"/>
      <c r="E19" s="178"/>
      <c r="F19" s="206"/>
      <c r="G19" s="178"/>
      <c r="H19" s="179"/>
    </row>
    <row r="20" spans="1:8" ht="30" x14ac:dyDescent="0.25">
      <c r="A20" s="23" t="s">
        <v>623</v>
      </c>
      <c r="B20" s="23" t="s">
        <v>631</v>
      </c>
      <c r="C20" s="23" t="s">
        <v>633</v>
      </c>
      <c r="D20" s="175" t="s">
        <v>655</v>
      </c>
      <c r="E20" s="178"/>
      <c r="F20" s="207">
        <v>350000</v>
      </c>
      <c r="G20" s="180" t="s">
        <v>16</v>
      </c>
      <c r="H20" s="181"/>
    </row>
    <row r="21" spans="1:8" x14ac:dyDescent="0.25">
      <c r="A21" s="23"/>
      <c r="B21" s="23"/>
      <c r="C21" s="23"/>
      <c r="D21" s="177"/>
      <c r="E21" s="178"/>
      <c r="F21" s="206"/>
      <c r="G21" s="180"/>
      <c r="H21" s="181"/>
    </row>
    <row r="22" spans="1:8" ht="45" x14ac:dyDescent="0.25">
      <c r="A22" s="23" t="s">
        <v>623</v>
      </c>
      <c r="B22" s="23" t="s">
        <v>14</v>
      </c>
      <c r="C22" s="23" t="s">
        <v>634</v>
      </c>
      <c r="D22" s="175" t="s">
        <v>656</v>
      </c>
      <c r="E22" s="182"/>
      <c r="F22" s="142">
        <v>125000</v>
      </c>
      <c r="G22" s="183" t="s">
        <v>16</v>
      </c>
      <c r="H22" s="184"/>
    </row>
    <row r="23" spans="1:8" ht="45" x14ac:dyDescent="0.25">
      <c r="A23" s="23" t="s">
        <v>623</v>
      </c>
      <c r="B23" s="23" t="s">
        <v>14</v>
      </c>
      <c r="C23" s="23" t="s">
        <v>634</v>
      </c>
      <c r="D23" s="175" t="s">
        <v>657</v>
      </c>
      <c r="E23" s="182"/>
      <c r="F23" s="142">
        <v>25000</v>
      </c>
      <c r="G23" s="183" t="s">
        <v>16</v>
      </c>
      <c r="H23" s="184"/>
    </row>
    <row r="24" spans="1:8" x14ac:dyDescent="0.25">
      <c r="A24" s="23"/>
      <c r="B24" s="23"/>
      <c r="C24" s="23"/>
      <c r="D24" s="185"/>
      <c r="E24" s="182"/>
      <c r="F24" s="186"/>
      <c r="G24" s="183"/>
      <c r="H24" s="184"/>
    </row>
    <row r="25" spans="1:8" ht="30" x14ac:dyDescent="0.25">
      <c r="A25" s="23" t="s">
        <v>623</v>
      </c>
      <c r="B25" s="23" t="s">
        <v>17</v>
      </c>
      <c r="C25" s="23" t="s">
        <v>18</v>
      </c>
      <c r="D25" s="187" t="s">
        <v>658</v>
      </c>
      <c r="E25" s="182"/>
      <c r="F25" s="208" t="s">
        <v>19</v>
      </c>
      <c r="G25" s="176" t="s">
        <v>19</v>
      </c>
      <c r="H25" s="184"/>
    </row>
    <row r="26" spans="1:8" x14ac:dyDescent="0.25">
      <c r="A26" s="23"/>
      <c r="B26" s="23"/>
      <c r="C26" s="23"/>
      <c r="D26" s="176"/>
      <c r="E26" s="176"/>
      <c r="F26" s="208"/>
      <c r="G26" s="176"/>
      <c r="H26" s="184"/>
    </row>
    <row r="27" spans="1:8" s="116" customFormat="1" x14ac:dyDescent="0.25">
      <c r="A27" s="23" t="s">
        <v>623</v>
      </c>
      <c r="B27" s="23" t="s">
        <v>20</v>
      </c>
      <c r="C27" s="23" t="s">
        <v>635</v>
      </c>
      <c r="D27" s="196"/>
      <c r="E27" s="214"/>
      <c r="F27" s="169">
        <v>35</v>
      </c>
      <c r="G27" s="176" t="s">
        <v>19</v>
      </c>
      <c r="H27" s="215"/>
    </row>
    <row r="28" spans="1:8" s="116" customFormat="1" x14ac:dyDescent="0.25">
      <c r="A28" s="23"/>
      <c r="B28" s="23"/>
      <c r="C28" s="23"/>
      <c r="D28" s="213"/>
      <c r="E28" s="214"/>
      <c r="F28" s="174"/>
      <c r="G28" s="176"/>
      <c r="H28" s="215"/>
    </row>
    <row r="29" spans="1:8" ht="45" x14ac:dyDescent="0.25">
      <c r="A29" s="157" t="s">
        <v>623</v>
      </c>
      <c r="B29" s="157" t="s">
        <v>665</v>
      </c>
      <c r="C29" s="157" t="s">
        <v>666</v>
      </c>
      <c r="D29" s="229" t="s">
        <v>667</v>
      </c>
      <c r="E29" s="216"/>
      <c r="F29" s="217"/>
      <c r="G29" s="183" t="s">
        <v>668</v>
      </c>
      <c r="H29" s="181" t="s">
        <v>669</v>
      </c>
    </row>
    <row r="30" spans="1:8" x14ac:dyDescent="0.25">
      <c r="A30" s="20"/>
      <c r="B30" s="20"/>
      <c r="C30" s="20"/>
      <c r="D30" s="197"/>
      <c r="E30" s="191"/>
      <c r="F30" s="209"/>
      <c r="G30" s="194"/>
      <c r="H30" s="195"/>
    </row>
    <row r="31" spans="1:8" ht="30" x14ac:dyDescent="0.25">
      <c r="A31" s="23" t="s">
        <v>624</v>
      </c>
      <c r="B31" s="23" t="s">
        <v>620</v>
      </c>
      <c r="C31" s="23" t="s">
        <v>632</v>
      </c>
      <c r="D31" s="175" t="s">
        <v>654</v>
      </c>
      <c r="E31" s="151"/>
      <c r="F31" s="218">
        <v>100</v>
      </c>
      <c r="G31" s="187" t="s">
        <v>652</v>
      </c>
      <c r="H31" s="181" t="s">
        <v>621</v>
      </c>
    </row>
    <row r="32" spans="1:8" x14ac:dyDescent="0.25">
      <c r="A32" s="177"/>
      <c r="B32" s="177"/>
      <c r="C32" s="177"/>
      <c r="D32" s="178"/>
      <c r="E32" s="151"/>
      <c r="F32" s="210"/>
      <c r="G32" s="178"/>
      <c r="H32" s="179"/>
    </row>
    <row r="33" spans="1:8" ht="45" x14ac:dyDescent="0.25">
      <c r="A33" s="23" t="s">
        <v>624</v>
      </c>
      <c r="B33" s="23" t="s">
        <v>14</v>
      </c>
      <c r="C33" s="23" t="s">
        <v>634</v>
      </c>
      <c r="D33" s="175" t="s">
        <v>657</v>
      </c>
      <c r="E33" s="152"/>
      <c r="F33" s="142">
        <v>200000</v>
      </c>
      <c r="G33" s="183" t="s">
        <v>16</v>
      </c>
      <c r="H33" s="184"/>
    </row>
    <row r="34" spans="1:8" x14ac:dyDescent="0.25">
      <c r="A34" s="23"/>
      <c r="B34" s="23"/>
      <c r="C34" s="23"/>
      <c r="D34" s="185"/>
      <c r="E34" s="152"/>
      <c r="F34" s="153"/>
      <c r="G34" s="183"/>
      <c r="H34" s="184"/>
    </row>
    <row r="35" spans="1:8" ht="30" x14ac:dyDescent="0.25">
      <c r="A35" s="23" t="s">
        <v>624</v>
      </c>
      <c r="B35" s="23" t="s">
        <v>17</v>
      </c>
      <c r="C35" s="23" t="s">
        <v>18</v>
      </c>
      <c r="D35" s="187" t="s">
        <v>15</v>
      </c>
      <c r="E35" s="152"/>
      <c r="F35" s="208" t="s">
        <v>19</v>
      </c>
      <c r="G35" s="176" t="s">
        <v>19</v>
      </c>
      <c r="H35" s="184"/>
    </row>
    <row r="36" spans="1:8" x14ac:dyDescent="0.25">
      <c r="A36" s="23"/>
      <c r="B36" s="23"/>
      <c r="C36" s="23"/>
      <c r="D36" s="196"/>
      <c r="E36" s="193"/>
      <c r="F36" s="211"/>
      <c r="G36" s="176"/>
      <c r="H36" s="184"/>
    </row>
    <row r="37" spans="1:8" s="116" customFormat="1" x14ac:dyDescent="0.25">
      <c r="A37" s="157" t="s">
        <v>624</v>
      </c>
      <c r="B37" s="157" t="s">
        <v>20</v>
      </c>
      <c r="C37" s="157" t="s">
        <v>629</v>
      </c>
      <c r="D37" s="188"/>
      <c r="E37" s="145"/>
      <c r="F37" s="147">
        <v>40</v>
      </c>
      <c r="G37" s="146" t="s">
        <v>19</v>
      </c>
      <c r="H37" s="189"/>
    </row>
    <row r="38" spans="1:8" x14ac:dyDescent="0.25">
      <c r="D38" s="144"/>
      <c r="E38" s="108"/>
      <c r="F38" s="212"/>
      <c r="G38" s="92"/>
      <c r="H38" s="96"/>
    </row>
    <row r="39" spans="1:8" ht="45" x14ac:dyDescent="0.25">
      <c r="A39" s="2" t="s">
        <v>21</v>
      </c>
      <c r="B39" s="2" t="s">
        <v>22</v>
      </c>
      <c r="C39" s="2" t="s">
        <v>23</v>
      </c>
      <c r="D39" s="167" t="s">
        <v>659</v>
      </c>
      <c r="E39" s="168"/>
      <c r="F39" s="169">
        <v>150000</v>
      </c>
      <c r="G39" s="92" t="s">
        <v>24</v>
      </c>
      <c r="H39" s="170"/>
    </row>
    <row r="40" spans="1:8" ht="45" x14ac:dyDescent="0.25">
      <c r="A40" s="2" t="s">
        <v>21</v>
      </c>
      <c r="B40" s="2" t="s">
        <v>22</v>
      </c>
      <c r="C40" s="2" t="s">
        <v>23</v>
      </c>
      <c r="D40" s="167" t="s">
        <v>660</v>
      </c>
      <c r="E40" s="168"/>
      <c r="F40" s="169">
        <v>170000</v>
      </c>
      <c r="G40" s="92" t="s">
        <v>24</v>
      </c>
      <c r="H40" s="170"/>
    </row>
    <row r="41" spans="1:8" x14ac:dyDescent="0.25">
      <c r="D41" s="173"/>
      <c r="E41" s="168"/>
      <c r="F41" s="174"/>
      <c r="G41" s="92"/>
      <c r="H41" s="170"/>
    </row>
    <row r="42" spans="1:8" ht="45" x14ac:dyDescent="0.25">
      <c r="A42" s="157" t="s">
        <v>21</v>
      </c>
      <c r="B42" s="157" t="s">
        <v>630</v>
      </c>
      <c r="C42" s="157" t="s">
        <v>636</v>
      </c>
      <c r="D42" s="198" t="s">
        <v>661</v>
      </c>
      <c r="E42" s="171"/>
      <c r="F42" s="190">
        <v>10000</v>
      </c>
      <c r="G42" s="199" t="s">
        <v>24</v>
      </c>
      <c r="H42" s="172"/>
    </row>
    <row r="43" spans="1:8" x14ac:dyDescent="0.25">
      <c r="A43" s="14"/>
      <c r="B43" s="14"/>
      <c r="C43" s="14"/>
      <c r="D43" s="165"/>
      <c r="E43" s="162"/>
      <c r="F43" s="166"/>
      <c r="G43" s="163"/>
      <c r="H43" s="164"/>
    </row>
    <row r="44" spans="1:8" ht="30" x14ac:dyDescent="0.25">
      <c r="A44" s="2" t="s">
        <v>25</v>
      </c>
      <c r="B44" s="2" t="s">
        <v>26</v>
      </c>
      <c r="C44" s="2" t="s">
        <v>27</v>
      </c>
      <c r="D44" s="105" t="s">
        <v>662</v>
      </c>
      <c r="E44" s="103"/>
      <c r="F44" s="107">
        <v>2</v>
      </c>
      <c r="G44" s="106" t="s">
        <v>19</v>
      </c>
      <c r="H44" s="96"/>
    </row>
    <row r="45" spans="1:8" x14ac:dyDescent="0.25">
      <c r="C45" s="17"/>
      <c r="D45" s="104"/>
      <c r="E45" s="103"/>
      <c r="F45" s="104"/>
      <c r="G45" s="92"/>
      <c r="H45" s="96"/>
    </row>
    <row r="46" spans="1:8" ht="30" x14ac:dyDescent="0.25">
      <c r="A46" s="3" t="s">
        <v>25</v>
      </c>
      <c r="B46" s="3" t="s">
        <v>28</v>
      </c>
      <c r="C46" s="3" t="s">
        <v>29</v>
      </c>
      <c r="D46" s="149"/>
      <c r="E46" s="150"/>
      <c r="F46" s="147" t="s">
        <v>663</v>
      </c>
      <c r="G46" s="148" t="s">
        <v>30</v>
      </c>
      <c r="H46" s="192" t="s">
        <v>31</v>
      </c>
    </row>
    <row r="47" spans="1:8" x14ac:dyDescent="0.25">
      <c r="D47" s="102"/>
      <c r="E47" s="103"/>
      <c r="F47" s="102"/>
      <c r="G47" s="92"/>
      <c r="H47" s="109"/>
    </row>
    <row r="48" spans="1:8" ht="45" x14ac:dyDescent="0.25">
      <c r="A48" s="2" t="s">
        <v>619</v>
      </c>
      <c r="B48" s="2" t="s">
        <v>32</v>
      </c>
      <c r="C48" s="2" t="s">
        <v>33</v>
      </c>
      <c r="D48" s="187" t="s">
        <v>664</v>
      </c>
      <c r="E48" s="103"/>
      <c r="F48" s="107"/>
      <c r="G48" s="105" t="s">
        <v>15</v>
      </c>
      <c r="H48" s="109"/>
    </row>
    <row r="49" spans="1:16" x14ac:dyDescent="0.25">
      <c r="C49" s="17"/>
      <c r="D49" s="110"/>
      <c r="E49" s="103"/>
      <c r="F49" s="111"/>
      <c r="G49" s="112"/>
      <c r="H49" s="109"/>
    </row>
    <row r="50" spans="1:16" customFormat="1" ht="29.25" customHeight="1" x14ac:dyDescent="0.25">
      <c r="A50" s="318" t="s">
        <v>848</v>
      </c>
      <c r="B50" s="319"/>
      <c r="C50" s="319"/>
      <c r="D50" s="319"/>
      <c r="E50" s="319"/>
      <c r="F50" s="319"/>
      <c r="G50" s="319"/>
      <c r="H50" s="320"/>
      <c r="I50" s="2"/>
      <c r="J50" s="2"/>
      <c r="K50" s="2"/>
      <c r="L50" s="2"/>
      <c r="M50" s="2"/>
      <c r="N50" s="2"/>
      <c r="O50" s="2"/>
      <c r="P50" s="2"/>
    </row>
    <row r="51" spans="1:16" customFormat="1" x14ac:dyDescent="0.25">
      <c r="A51" s="321"/>
      <c r="B51" s="322"/>
      <c r="C51" s="322"/>
      <c r="D51" s="322"/>
      <c r="E51" s="322"/>
      <c r="F51" s="322"/>
      <c r="G51" s="322"/>
      <c r="H51" s="323"/>
      <c r="I51" s="2"/>
      <c r="J51" s="2"/>
      <c r="K51" s="2"/>
      <c r="L51" s="2"/>
      <c r="M51" s="2"/>
      <c r="N51" s="2"/>
      <c r="O51" s="2"/>
      <c r="P51" s="2"/>
    </row>
    <row r="52" spans="1:16" customFormat="1" x14ac:dyDescent="0.25">
      <c r="A52" s="324"/>
      <c r="B52" s="325"/>
      <c r="C52" s="325"/>
      <c r="D52" s="325"/>
      <c r="E52" s="325"/>
      <c r="F52" s="325"/>
      <c r="G52" s="325"/>
      <c r="H52" s="326"/>
      <c r="I52" s="2"/>
      <c r="J52" s="2"/>
      <c r="K52" s="2"/>
      <c r="L52" s="2"/>
      <c r="M52" s="2"/>
      <c r="N52" s="2"/>
      <c r="O52" s="2"/>
      <c r="P52" s="2"/>
    </row>
    <row r="53" spans="1:16" customFormat="1" x14ac:dyDescent="0.25">
      <c r="A53" s="324"/>
      <c r="B53" s="325"/>
      <c r="C53" s="325"/>
      <c r="D53" s="325"/>
      <c r="E53" s="325"/>
      <c r="F53" s="325"/>
      <c r="G53" s="325"/>
      <c r="H53" s="326"/>
      <c r="I53" s="2"/>
      <c r="J53" s="2"/>
      <c r="K53" s="2"/>
      <c r="L53" s="2"/>
      <c r="M53" s="2"/>
      <c r="N53" s="2"/>
      <c r="O53" s="2"/>
      <c r="P53" s="2"/>
    </row>
    <row r="54" spans="1:16" customFormat="1" x14ac:dyDescent="0.25">
      <c r="A54" s="327"/>
      <c r="B54" s="328"/>
      <c r="C54" s="328"/>
      <c r="D54" s="328"/>
      <c r="E54" s="328"/>
      <c r="F54" s="328"/>
      <c r="G54" s="328"/>
      <c r="H54" s="329"/>
      <c r="I54" s="2"/>
      <c r="J54" s="2"/>
      <c r="K54" s="2"/>
      <c r="L54" s="2"/>
      <c r="M54" s="2"/>
      <c r="N54" s="2"/>
      <c r="O54" s="2"/>
      <c r="P54" s="2"/>
    </row>
    <row r="55" spans="1:16" x14ac:dyDescent="0.25">
      <c r="G55" s="92"/>
      <c r="H55" s="9"/>
      <c r="I55" s="9"/>
    </row>
    <row r="56" spans="1:16" x14ac:dyDescent="0.25">
      <c r="A56" s="6"/>
      <c r="B56" s="6"/>
      <c r="C56" s="6"/>
      <c r="D56" s="6"/>
      <c r="E56" s="6"/>
      <c r="F56" s="6"/>
      <c r="G56" s="293"/>
      <c r="H56" s="294"/>
      <c r="I56" s="294"/>
      <c r="J56" s="6"/>
      <c r="K56" s="6"/>
      <c r="L56" s="6"/>
      <c r="M56" s="6"/>
      <c r="N56" s="6"/>
      <c r="O56" s="6"/>
      <c r="P56" s="6"/>
    </row>
    <row r="57" spans="1:16" ht="21" x14ac:dyDescent="0.35">
      <c r="A57" s="5" t="s">
        <v>34</v>
      </c>
      <c r="D57" s="154"/>
      <c r="E57" s="33"/>
      <c r="F57" s="101"/>
      <c r="G57" s="33"/>
    </row>
    <row r="58" spans="1:16" x14ac:dyDescent="0.25">
      <c r="A58" s="24" t="s">
        <v>35</v>
      </c>
      <c r="B58" s="25" t="s">
        <v>36</v>
      </c>
      <c r="C58" s="25"/>
      <c r="D58" s="155" t="s">
        <v>15</v>
      </c>
    </row>
    <row r="59" spans="1:16" x14ac:dyDescent="0.25">
      <c r="A59" s="42" t="s">
        <v>40</v>
      </c>
      <c r="B59" s="2" t="s">
        <v>41</v>
      </c>
      <c r="C59" s="2" t="s">
        <v>42</v>
      </c>
      <c r="D59" s="50">
        <v>330000</v>
      </c>
      <c r="F59" s="154"/>
    </row>
    <row r="60" spans="1:16" x14ac:dyDescent="0.25">
      <c r="A60" s="42" t="s">
        <v>43</v>
      </c>
      <c r="B60" s="2" t="s">
        <v>518</v>
      </c>
      <c r="C60" s="2" t="s">
        <v>537</v>
      </c>
      <c r="D60" s="50">
        <v>220000</v>
      </c>
      <c r="F60" s="154"/>
    </row>
    <row r="61" spans="1:16" x14ac:dyDescent="0.25">
      <c r="A61" s="159" t="s">
        <v>625</v>
      </c>
      <c r="B61" s="23" t="s">
        <v>626</v>
      </c>
      <c r="C61" s="23" t="s">
        <v>627</v>
      </c>
      <c r="D61" s="56">
        <f>D59+D60</f>
        <v>550000</v>
      </c>
      <c r="F61" s="154"/>
    </row>
    <row r="62" spans="1:16" x14ac:dyDescent="0.25">
      <c r="A62" s="42"/>
      <c r="D62" s="129" t="s">
        <v>16</v>
      </c>
      <c r="F62" s="154"/>
    </row>
    <row r="63" spans="1:16" x14ac:dyDescent="0.25">
      <c r="A63" s="42" t="s">
        <v>37</v>
      </c>
      <c r="B63" s="2" t="s">
        <v>38</v>
      </c>
      <c r="C63" s="23" t="s">
        <v>649</v>
      </c>
      <c r="D63" s="50">
        <v>150000</v>
      </c>
    </row>
    <row r="64" spans="1:16" x14ac:dyDescent="0.25">
      <c r="A64" s="42" t="s">
        <v>39</v>
      </c>
      <c r="B64" s="2" t="s">
        <v>615</v>
      </c>
      <c r="C64" s="23" t="s">
        <v>650</v>
      </c>
      <c r="D64" s="50">
        <v>200000</v>
      </c>
    </row>
    <row r="65" spans="1:16" x14ac:dyDescent="0.25">
      <c r="A65" s="42"/>
      <c r="D65" s="129" t="s">
        <v>16</v>
      </c>
    </row>
    <row r="66" spans="1:16" x14ac:dyDescent="0.25">
      <c r="A66" s="42" t="s">
        <v>44</v>
      </c>
      <c r="B66" s="2" t="s">
        <v>45</v>
      </c>
      <c r="C66" s="23" t="s">
        <v>46</v>
      </c>
      <c r="D66" s="50">
        <v>0</v>
      </c>
      <c r="F66" s="154"/>
    </row>
    <row r="67" spans="1:16" x14ac:dyDescent="0.25">
      <c r="A67" s="42" t="s">
        <v>47</v>
      </c>
      <c r="B67" s="2" t="s">
        <v>538</v>
      </c>
      <c r="C67" s="23" t="s">
        <v>519</v>
      </c>
      <c r="D67" s="50">
        <v>0</v>
      </c>
      <c r="F67" s="154"/>
    </row>
    <row r="68" spans="1:16" x14ac:dyDescent="0.25">
      <c r="A68" s="42" t="s">
        <v>48</v>
      </c>
      <c r="B68" s="2" t="s">
        <v>49</v>
      </c>
      <c r="C68" s="2" t="s">
        <v>50</v>
      </c>
      <c r="D68" s="50">
        <v>0</v>
      </c>
    </row>
    <row r="69" spans="1:16" x14ac:dyDescent="0.25">
      <c r="A69" s="42"/>
      <c r="D69" s="129" t="s">
        <v>24</v>
      </c>
    </row>
    <row r="70" spans="1:16" ht="30" x14ac:dyDescent="0.25">
      <c r="A70" s="42" t="s">
        <v>51</v>
      </c>
      <c r="B70" s="2" t="s">
        <v>52</v>
      </c>
      <c r="C70" s="23" t="s">
        <v>849</v>
      </c>
      <c r="D70" s="50">
        <v>350000</v>
      </c>
    </row>
    <row r="71" spans="1:16" x14ac:dyDescent="0.25">
      <c r="A71" s="42"/>
      <c r="D71" s="129" t="s">
        <v>56</v>
      </c>
    </row>
    <row r="72" spans="1:16" x14ac:dyDescent="0.25">
      <c r="A72" s="51" t="s">
        <v>53</v>
      </c>
      <c r="B72" s="3" t="s">
        <v>54</v>
      </c>
      <c r="C72" s="3" t="s">
        <v>55</v>
      </c>
      <c r="D72" s="52">
        <f>D66+D67+D70</f>
        <v>350000</v>
      </c>
    </row>
    <row r="73" spans="1:16" x14ac:dyDescent="0.25">
      <c r="D73" s="18"/>
      <c r="E73" s="19"/>
    </row>
    <row r="74" spans="1:16" x14ac:dyDescent="0.25">
      <c r="A74" s="6"/>
      <c r="B74" s="6"/>
      <c r="C74" s="6"/>
      <c r="D74" s="11"/>
      <c r="E74" s="11"/>
      <c r="F74" s="12"/>
      <c r="G74" s="6"/>
      <c r="H74" s="6"/>
      <c r="I74" s="6"/>
      <c r="J74" s="6"/>
      <c r="K74" s="6"/>
      <c r="L74" s="6"/>
      <c r="M74" s="6"/>
      <c r="N74" s="6"/>
      <c r="O74" s="6"/>
      <c r="P74" s="6"/>
    </row>
    <row r="75" spans="1:16" ht="21.75" thickBot="1" x14ac:dyDescent="0.4">
      <c r="A75" s="5" t="s">
        <v>57</v>
      </c>
      <c r="F75" s="18"/>
      <c r="G75" s="19"/>
    </row>
    <row r="76" spans="1:16" ht="21" x14ac:dyDescent="0.35">
      <c r="A76" s="40" t="s">
        <v>35</v>
      </c>
      <c r="B76" s="28" t="s">
        <v>36</v>
      </c>
      <c r="C76" s="28" t="s">
        <v>11</v>
      </c>
      <c r="D76" s="41" t="s">
        <v>58</v>
      </c>
      <c r="F76" s="40" t="s">
        <v>35</v>
      </c>
      <c r="G76" s="28" t="s">
        <v>36</v>
      </c>
      <c r="H76" s="28" t="s">
        <v>11</v>
      </c>
      <c r="I76" s="41" t="s">
        <v>58</v>
      </c>
      <c r="K76" s="219" t="s">
        <v>156</v>
      </c>
      <c r="L76" s="220"/>
      <c r="M76" s="220"/>
      <c r="N76" s="220"/>
      <c r="O76" s="220"/>
      <c r="P76" s="221"/>
    </row>
    <row r="77" spans="1:16" ht="45" x14ac:dyDescent="0.25">
      <c r="A77" s="48"/>
      <c r="B77" s="128" t="s">
        <v>59</v>
      </c>
      <c r="C77" s="128" t="s">
        <v>60</v>
      </c>
      <c r="D77" s="49">
        <v>1200</v>
      </c>
      <c r="F77" s="48" t="s">
        <v>61</v>
      </c>
      <c r="G77" s="20" t="s">
        <v>62</v>
      </c>
      <c r="H77" s="20" t="s">
        <v>63</v>
      </c>
      <c r="I77" s="45">
        <f>D105+D107*D103/D90</f>
        <v>18.781690140845072</v>
      </c>
      <c r="K77" s="306" t="s">
        <v>839</v>
      </c>
      <c r="L77" s="307"/>
      <c r="M77" s="307"/>
      <c r="N77" s="307"/>
      <c r="O77" s="307"/>
      <c r="P77" s="308"/>
    </row>
    <row r="78" spans="1:16" ht="45" x14ac:dyDescent="0.25">
      <c r="A78" s="42"/>
      <c r="B78" s="23" t="s">
        <v>821</v>
      </c>
      <c r="C78" s="23" t="s">
        <v>670</v>
      </c>
      <c r="D78" s="50">
        <v>300</v>
      </c>
      <c r="F78" s="42" t="s">
        <v>64</v>
      </c>
      <c r="G78" s="2" t="s">
        <v>65</v>
      </c>
      <c r="H78" s="2" t="s">
        <v>66</v>
      </c>
      <c r="I78" s="43">
        <f>D97+D107*D84/D90</f>
        <v>41.954225352112672</v>
      </c>
      <c r="K78" s="309" t="s">
        <v>840</v>
      </c>
      <c r="L78" s="304"/>
      <c r="M78" s="304"/>
      <c r="N78" s="304"/>
      <c r="O78" s="304"/>
      <c r="P78" s="305"/>
    </row>
    <row r="79" spans="1:16" ht="45" x14ac:dyDescent="0.25">
      <c r="A79" s="26"/>
      <c r="B79" s="23" t="s">
        <v>671</v>
      </c>
      <c r="C79" s="23" t="s">
        <v>672</v>
      </c>
      <c r="D79" s="62">
        <v>20</v>
      </c>
      <c r="F79" s="42" t="s">
        <v>69</v>
      </c>
      <c r="G79" s="2" t="s">
        <v>70</v>
      </c>
      <c r="H79" s="23" t="s">
        <v>638</v>
      </c>
      <c r="I79" s="43">
        <f>D98+D107*D85/D90</f>
        <v>31.302816901408452</v>
      </c>
      <c r="K79" s="233"/>
      <c r="L79" s="195"/>
      <c r="M79" s="178" t="s">
        <v>811</v>
      </c>
      <c r="N79" s="234" t="s">
        <v>811</v>
      </c>
      <c r="O79" s="178" t="s">
        <v>812</v>
      </c>
      <c r="P79" s="235" t="s">
        <v>812</v>
      </c>
    </row>
    <row r="80" spans="1:16" ht="45" x14ac:dyDescent="0.25">
      <c r="A80" s="26"/>
      <c r="B80" s="23" t="s">
        <v>67</v>
      </c>
      <c r="C80" s="23" t="s">
        <v>68</v>
      </c>
      <c r="D80" s="50">
        <v>50</v>
      </c>
      <c r="F80" s="42" t="s">
        <v>74</v>
      </c>
      <c r="G80" s="2" t="s">
        <v>539</v>
      </c>
      <c r="H80" s="2" t="s">
        <v>520</v>
      </c>
      <c r="I80" s="43">
        <f>D106+D107*D104/D90</f>
        <v>12.52112676056338</v>
      </c>
      <c r="K80" s="232" t="s">
        <v>673</v>
      </c>
      <c r="L80" s="189" t="s">
        <v>622</v>
      </c>
      <c r="M80" s="236" t="s">
        <v>35</v>
      </c>
      <c r="N80" s="237" t="s">
        <v>12</v>
      </c>
      <c r="O80" s="236" t="s">
        <v>35</v>
      </c>
      <c r="P80" s="238" t="s">
        <v>12</v>
      </c>
    </row>
    <row r="81" spans="1:16" ht="60" x14ac:dyDescent="0.25">
      <c r="A81" s="26"/>
      <c r="B81" s="23" t="s">
        <v>855</v>
      </c>
      <c r="C81" s="23" t="s">
        <v>856</v>
      </c>
      <c r="D81" s="50">
        <v>20</v>
      </c>
      <c r="F81" s="42" t="s">
        <v>76</v>
      </c>
      <c r="G81" s="2" t="s">
        <v>540</v>
      </c>
      <c r="H81" s="2" t="s">
        <v>541</v>
      </c>
      <c r="I81" s="43">
        <f>D99+D107*D86/D90</f>
        <v>47.279929577464792</v>
      </c>
      <c r="K81" s="239" t="s">
        <v>674</v>
      </c>
      <c r="L81" s="215" t="s">
        <v>639</v>
      </c>
      <c r="M81" s="178" t="s">
        <v>157</v>
      </c>
      <c r="N81" s="240">
        <f>D82*1000/D72</f>
        <v>4.1428571428571432</v>
      </c>
      <c r="O81" s="178" t="s">
        <v>687</v>
      </c>
      <c r="P81" s="243">
        <f>1000*(D82-D92)/D72</f>
        <v>4.0857142857142854</v>
      </c>
    </row>
    <row r="82" spans="1:16" ht="45" x14ac:dyDescent="0.25">
      <c r="A82" s="51" t="s">
        <v>71</v>
      </c>
      <c r="B82" s="32" t="s">
        <v>72</v>
      </c>
      <c r="C82" s="32" t="s">
        <v>73</v>
      </c>
      <c r="D82" s="52">
        <f>D77+D78+D79-D80-D81</f>
        <v>1450</v>
      </c>
      <c r="F82" s="42" t="s">
        <v>78</v>
      </c>
      <c r="G82" s="2" t="s">
        <v>570</v>
      </c>
      <c r="H82" s="2" t="s">
        <v>542</v>
      </c>
      <c r="I82" s="201">
        <f>D100+D107*D87/D90</f>
        <v>0.2130281690140845</v>
      </c>
      <c r="K82" s="239" t="s">
        <v>675</v>
      </c>
      <c r="L82" s="215" t="s">
        <v>255</v>
      </c>
      <c r="M82" s="178" t="s">
        <v>158</v>
      </c>
      <c r="N82" s="242">
        <f>I103*1000/D63</f>
        <v>1.842238814252277</v>
      </c>
      <c r="O82" s="178" t="s">
        <v>688</v>
      </c>
      <c r="P82" s="243">
        <f>1000*(D103+I77+D84+I78)/D63</f>
        <v>1.8049061032863847</v>
      </c>
    </row>
    <row r="83" spans="1:16" ht="45" x14ac:dyDescent="0.25">
      <c r="A83" s="42"/>
      <c r="B83" s="2" t="s">
        <v>75</v>
      </c>
      <c r="C83" s="2" t="s">
        <v>521</v>
      </c>
      <c r="D83" s="50">
        <v>100</v>
      </c>
      <c r="F83" s="42" t="s">
        <v>81</v>
      </c>
      <c r="G83" s="2" t="s">
        <v>82</v>
      </c>
      <c r="H83" s="119" t="s">
        <v>83</v>
      </c>
      <c r="I83" s="43">
        <f>D101+$D$107*D88/$D$90</f>
        <v>4.130281690140845</v>
      </c>
      <c r="K83" s="239" t="s">
        <v>676</v>
      </c>
      <c r="L83" s="215" t="s">
        <v>255</v>
      </c>
      <c r="M83" s="178" t="s">
        <v>159</v>
      </c>
      <c r="N83" s="242" t="str">
        <f>IFERROR(1000*I105/D66,"-")</f>
        <v>-</v>
      </c>
      <c r="O83" s="178" t="s">
        <v>697</v>
      </c>
      <c r="P83" s="243" t="str">
        <f>IFERROR(1000*(D85+I79)/D66,"-")</f>
        <v>-</v>
      </c>
    </row>
    <row r="84" spans="1:16" ht="45" x14ac:dyDescent="0.25">
      <c r="A84" s="42"/>
      <c r="B84" s="2" t="s">
        <v>689</v>
      </c>
      <c r="C84" s="2" t="s">
        <v>77</v>
      </c>
      <c r="D84" s="50">
        <v>150</v>
      </c>
      <c r="F84" s="51" t="s">
        <v>84</v>
      </c>
      <c r="G84" s="3" t="s">
        <v>85</v>
      </c>
      <c r="H84" s="118" t="s">
        <v>86</v>
      </c>
      <c r="I84" s="44">
        <f>D102+$D$107*D89/$D$90</f>
        <v>137.81690140845069</v>
      </c>
      <c r="K84" s="239" t="s">
        <v>677</v>
      </c>
      <c r="L84" s="215" t="s">
        <v>255</v>
      </c>
      <c r="M84" s="178" t="s">
        <v>160</v>
      </c>
      <c r="N84" s="242" t="str">
        <f>IFERROR(1000*(I103/D63+I105/D66),"-")</f>
        <v>-</v>
      </c>
      <c r="O84" s="178" t="s">
        <v>698</v>
      </c>
      <c r="P84" s="243" t="str">
        <f>IFERROR(P82+P83,"-")</f>
        <v>-</v>
      </c>
    </row>
    <row r="85" spans="1:16" ht="30" x14ac:dyDescent="0.25">
      <c r="B85" s="2" t="s">
        <v>79</v>
      </c>
      <c r="C85" s="2" t="s">
        <v>80</v>
      </c>
      <c r="D85" s="50">
        <v>100</v>
      </c>
      <c r="K85" s="239" t="s">
        <v>678</v>
      </c>
      <c r="L85" s="215" t="s">
        <v>255</v>
      </c>
      <c r="M85" s="178" t="s">
        <v>161</v>
      </c>
      <c r="N85" s="242">
        <f>1000*I104/D64</f>
        <v>1.402884020062428</v>
      </c>
      <c r="O85" s="178" t="s">
        <v>699</v>
      </c>
      <c r="P85" s="243">
        <f>1000*(D104+I80+D86+I81)/D64</f>
        <v>1.3740052816901409</v>
      </c>
    </row>
    <row r="86" spans="1:16" ht="30" x14ac:dyDescent="0.25">
      <c r="B86" s="2" t="s">
        <v>690</v>
      </c>
      <c r="C86" s="2" t="s">
        <v>543</v>
      </c>
      <c r="D86" s="50">
        <v>175</v>
      </c>
      <c r="F86" s="40" t="s">
        <v>35</v>
      </c>
      <c r="G86" s="28" t="s">
        <v>36</v>
      </c>
      <c r="H86" s="28" t="s">
        <v>11</v>
      </c>
      <c r="I86" s="41" t="s">
        <v>58</v>
      </c>
      <c r="K86" s="239" t="s">
        <v>679</v>
      </c>
      <c r="L86" s="215" t="s">
        <v>255</v>
      </c>
      <c r="M86" s="178" t="s">
        <v>162</v>
      </c>
      <c r="N86" s="242" t="str">
        <f>IFERROR(1000*I106/D67,"-")</f>
        <v>-</v>
      </c>
      <c r="O86" s="178" t="s">
        <v>700</v>
      </c>
      <c r="P86" s="243" t="str">
        <f>IFERROR(1000*(D87+I82)/D67,"-")</f>
        <v>-</v>
      </c>
    </row>
    <row r="87" spans="1:16" ht="30" x14ac:dyDescent="0.25">
      <c r="B87" s="2" t="s">
        <v>571</v>
      </c>
      <c r="C87" s="2" t="s">
        <v>544</v>
      </c>
      <c r="D87" s="50">
        <v>1</v>
      </c>
      <c r="F87" s="48" t="s">
        <v>91</v>
      </c>
      <c r="G87" s="20" t="s">
        <v>92</v>
      </c>
      <c r="H87" s="20" t="s">
        <v>506</v>
      </c>
      <c r="I87" s="45">
        <f>D92*I137/D130</f>
        <v>0.40169372853665858</v>
      </c>
      <c r="K87" s="244" t="s">
        <v>682</v>
      </c>
      <c r="L87" s="215" t="s">
        <v>255</v>
      </c>
      <c r="M87" s="178" t="s">
        <v>163</v>
      </c>
      <c r="N87" s="345" t="str">
        <f>IFERROR(1000*(I104/D64+I106/D67),"-")</f>
        <v>-</v>
      </c>
      <c r="O87" s="178" t="s">
        <v>701</v>
      </c>
      <c r="P87" s="346" t="str">
        <f>IFERROR(P85+P86,"-")</f>
        <v>-</v>
      </c>
    </row>
    <row r="88" spans="1:16" ht="30" x14ac:dyDescent="0.25">
      <c r="A88" s="26"/>
      <c r="B88" s="2" t="s">
        <v>87</v>
      </c>
      <c r="C88" s="2" t="s">
        <v>88</v>
      </c>
      <c r="D88" s="117">
        <v>10</v>
      </c>
      <c r="F88" s="42" t="s">
        <v>96</v>
      </c>
      <c r="G88" s="2" t="s">
        <v>693</v>
      </c>
      <c r="H88" s="2" t="s">
        <v>507</v>
      </c>
      <c r="I88" s="43">
        <f>D92*I139/D130</f>
        <v>5.1982129163471473</v>
      </c>
      <c r="K88" s="239" t="s">
        <v>683</v>
      </c>
      <c r="L88" s="215" t="s">
        <v>640</v>
      </c>
      <c r="M88" s="178" t="s">
        <v>164</v>
      </c>
      <c r="N88" s="245">
        <f>1000*I108/D70</f>
        <v>2.1212418444250001</v>
      </c>
      <c r="O88" s="178" t="s">
        <v>702</v>
      </c>
      <c r="P88" s="346">
        <f>1000*(D89+I84)/D70</f>
        <v>2.1080482897384307</v>
      </c>
    </row>
    <row r="89" spans="1:16" ht="30" x14ac:dyDescent="0.25">
      <c r="A89" s="26"/>
      <c r="B89" s="2" t="s">
        <v>89</v>
      </c>
      <c r="C89" s="2" t="s">
        <v>90</v>
      </c>
      <c r="D89" s="117">
        <v>600</v>
      </c>
      <c r="F89" s="42" t="s">
        <v>99</v>
      </c>
      <c r="G89" s="2" t="s">
        <v>100</v>
      </c>
      <c r="H89" s="2" t="s">
        <v>508</v>
      </c>
      <c r="I89" s="43">
        <f>D92*I145/D130</f>
        <v>3.7757143333444478</v>
      </c>
      <c r="K89" s="239" t="s">
        <v>684</v>
      </c>
      <c r="L89" s="215" t="s">
        <v>640</v>
      </c>
      <c r="M89" s="178" t="s">
        <v>680</v>
      </c>
      <c r="N89" s="345" t="str">
        <f>IFERROR(1000*(I107/D68+I108/D70),"-")</f>
        <v>-</v>
      </c>
      <c r="O89" s="178" t="s">
        <v>703</v>
      </c>
      <c r="P89" s="346" t="str">
        <f>IFERROR(1000*((D88+I83)/D68+(D89+I84)/D70),"-")</f>
        <v>-</v>
      </c>
    </row>
    <row r="90" spans="1:16" ht="30.75" thickBot="1" x14ac:dyDescent="0.3">
      <c r="A90" s="42" t="s">
        <v>93</v>
      </c>
      <c r="B90" s="30" t="s">
        <v>94</v>
      </c>
      <c r="C90" s="30" t="s">
        <v>95</v>
      </c>
      <c r="D90" s="56">
        <f>SUM(D83:D89)</f>
        <v>1136</v>
      </c>
      <c r="E90" s="13"/>
      <c r="F90" s="42" t="s">
        <v>103</v>
      </c>
      <c r="G90" s="2" t="s">
        <v>572</v>
      </c>
      <c r="H90" s="2" t="s">
        <v>522</v>
      </c>
      <c r="I90" s="43">
        <f>D92*I138/D130</f>
        <v>0.267795819024439</v>
      </c>
      <c r="K90" s="246" t="s">
        <v>165</v>
      </c>
      <c r="L90" s="224" t="s">
        <v>19</v>
      </c>
      <c r="M90" s="247" t="s">
        <v>681</v>
      </c>
      <c r="N90" s="248">
        <f>(D78+D79)/D82</f>
        <v>0.22068965517241379</v>
      </c>
      <c r="O90" s="247" t="s">
        <v>704</v>
      </c>
      <c r="P90" s="347">
        <f>(D78+D79)/(D82-D92)</f>
        <v>0.22377622377622378</v>
      </c>
    </row>
    <row r="91" spans="1:16" ht="45" x14ac:dyDescent="0.25">
      <c r="A91" s="42"/>
      <c r="B91" s="2" t="s">
        <v>97</v>
      </c>
      <c r="C91" s="77" t="s">
        <v>98</v>
      </c>
      <c r="D91" s="50">
        <v>70</v>
      </c>
      <c r="E91" s="13"/>
      <c r="F91" s="42" t="s">
        <v>105</v>
      </c>
      <c r="G91" s="2" t="s">
        <v>694</v>
      </c>
      <c r="H91" s="2" t="s">
        <v>573</v>
      </c>
      <c r="I91" s="43">
        <f>D92*I140/D130</f>
        <v>5.5079518554329345</v>
      </c>
    </row>
    <row r="92" spans="1:16" ht="30" x14ac:dyDescent="0.25">
      <c r="A92" s="51"/>
      <c r="B92" s="3" t="s">
        <v>101</v>
      </c>
      <c r="C92" s="31" t="s">
        <v>102</v>
      </c>
      <c r="D92" s="54">
        <v>20</v>
      </c>
      <c r="E92" s="13"/>
      <c r="F92" s="42" t="s">
        <v>108</v>
      </c>
      <c r="G92" s="2" t="s">
        <v>574</v>
      </c>
      <c r="H92" s="2" t="s">
        <v>575</v>
      </c>
      <c r="I92" s="201">
        <f>D92*I146/D130</f>
        <v>8.6420164705097863E-2</v>
      </c>
    </row>
    <row r="93" spans="1:16" ht="30" x14ac:dyDescent="0.25">
      <c r="A93" s="51" t="s">
        <v>104</v>
      </c>
      <c r="B93" s="31" t="s">
        <v>616</v>
      </c>
      <c r="C93" s="31" t="s">
        <v>617</v>
      </c>
      <c r="D93" s="52">
        <f>D90+D91+D92</f>
        <v>1226</v>
      </c>
      <c r="E93" s="13"/>
      <c r="F93" s="42" t="s">
        <v>112</v>
      </c>
      <c r="G93" s="2" t="s">
        <v>113</v>
      </c>
      <c r="H93" s="2" t="s">
        <v>509</v>
      </c>
      <c r="I93" s="43">
        <f>D92*I147/D130</f>
        <v>0.14446704230987231</v>
      </c>
    </row>
    <row r="94" spans="1:16" ht="45" x14ac:dyDescent="0.25">
      <c r="A94" s="78" t="s">
        <v>106</v>
      </c>
      <c r="B94" s="79" t="s">
        <v>107</v>
      </c>
      <c r="C94" s="200" t="s">
        <v>637</v>
      </c>
      <c r="D94" s="80">
        <f>D82-D93</f>
        <v>224</v>
      </c>
      <c r="E94" s="13"/>
      <c r="F94" s="51" t="s">
        <v>116</v>
      </c>
      <c r="G94" s="3" t="s">
        <v>117</v>
      </c>
      <c r="H94" s="3" t="s">
        <v>510</v>
      </c>
      <c r="I94" s="44">
        <f>D92*I148/D130</f>
        <v>4.6177441402994033</v>
      </c>
    </row>
    <row r="95" spans="1:16" ht="30" x14ac:dyDescent="0.25">
      <c r="A95" s="78" t="s">
        <v>109</v>
      </c>
      <c r="B95" s="79" t="s">
        <v>110</v>
      </c>
      <c r="C95" s="79" t="s">
        <v>111</v>
      </c>
      <c r="D95" s="80">
        <f>D91+D94</f>
        <v>294</v>
      </c>
    </row>
    <row r="96" spans="1:16" ht="45" x14ac:dyDescent="0.25">
      <c r="A96" s="42"/>
      <c r="B96" s="2" t="s">
        <v>114</v>
      </c>
      <c r="C96" s="2" t="s">
        <v>115</v>
      </c>
      <c r="D96" s="50">
        <v>10</v>
      </c>
      <c r="F96" s="40" t="s">
        <v>35</v>
      </c>
      <c r="G96" s="28" t="s">
        <v>36</v>
      </c>
      <c r="H96" s="28" t="s">
        <v>11</v>
      </c>
      <c r="I96" s="41" t="s">
        <v>58</v>
      </c>
    </row>
    <row r="97" spans="1:16" ht="45" x14ac:dyDescent="0.25">
      <c r="A97" s="42"/>
      <c r="B97" s="2" t="s">
        <v>691</v>
      </c>
      <c r="C97" s="2" t="s">
        <v>118</v>
      </c>
      <c r="D97" s="50">
        <v>10</v>
      </c>
      <c r="F97" s="48" t="s">
        <v>121</v>
      </c>
      <c r="G97" s="20" t="s">
        <v>122</v>
      </c>
      <c r="H97" s="20" t="s">
        <v>123</v>
      </c>
      <c r="I97" s="120">
        <f>D103+I77+I87</f>
        <v>79.183383869381728</v>
      </c>
    </row>
    <row r="98" spans="1:16" ht="45" x14ac:dyDescent="0.25">
      <c r="B98" s="2" t="s">
        <v>119</v>
      </c>
      <c r="C98" s="2" t="s">
        <v>120</v>
      </c>
      <c r="D98" s="50">
        <v>10</v>
      </c>
      <c r="E98" s="14"/>
      <c r="F98" s="42" t="s">
        <v>124</v>
      </c>
      <c r="G98" s="2" t="s">
        <v>577</v>
      </c>
      <c r="H98" s="2" t="s">
        <v>523</v>
      </c>
      <c r="I98" s="46">
        <f>D104+I80+I90</f>
        <v>52.788922579587819</v>
      </c>
    </row>
    <row r="99" spans="1:16" ht="45" x14ac:dyDescent="0.25">
      <c r="B99" s="2" t="s">
        <v>692</v>
      </c>
      <c r="C99" s="2" t="s">
        <v>545</v>
      </c>
      <c r="D99" s="50">
        <v>10</v>
      </c>
      <c r="E99" s="14"/>
      <c r="F99" s="42" t="s">
        <v>127</v>
      </c>
      <c r="G99" s="2" t="s">
        <v>695</v>
      </c>
      <c r="H99" s="2" t="s">
        <v>128</v>
      </c>
      <c r="I99" s="46">
        <f>D84+I78+I88</f>
        <v>197.15243826845983</v>
      </c>
    </row>
    <row r="100" spans="1:16" ht="45" x14ac:dyDescent="0.25">
      <c r="B100" s="2" t="s">
        <v>576</v>
      </c>
      <c r="C100" s="2" t="s">
        <v>546</v>
      </c>
      <c r="D100" s="50">
        <v>0</v>
      </c>
      <c r="E100" s="14"/>
      <c r="F100" s="51" t="s">
        <v>131</v>
      </c>
      <c r="G100" s="3" t="s">
        <v>696</v>
      </c>
      <c r="H100" s="3" t="s">
        <v>547</v>
      </c>
      <c r="I100" s="47">
        <f>D86+I81+I91</f>
        <v>227.78788143289773</v>
      </c>
    </row>
    <row r="101" spans="1:16" ht="45" x14ac:dyDescent="0.25">
      <c r="A101" s="26"/>
      <c r="B101" s="2" t="s">
        <v>125</v>
      </c>
      <c r="C101" s="2" t="s">
        <v>126</v>
      </c>
      <c r="D101" s="62">
        <v>2</v>
      </c>
      <c r="E101" s="14"/>
    </row>
    <row r="102" spans="1:16" ht="45" x14ac:dyDescent="0.25">
      <c r="A102" s="85"/>
      <c r="B102" s="3" t="s">
        <v>129</v>
      </c>
      <c r="C102" s="3" t="s">
        <v>130</v>
      </c>
      <c r="D102" s="143">
        <v>10</v>
      </c>
      <c r="E102" s="14"/>
      <c r="F102" s="40" t="s">
        <v>35</v>
      </c>
      <c r="G102" s="28" t="s">
        <v>36</v>
      </c>
      <c r="H102" s="28" t="s">
        <v>11</v>
      </c>
      <c r="I102" s="41" t="s">
        <v>58</v>
      </c>
    </row>
    <row r="103" spans="1:16" ht="30" x14ac:dyDescent="0.25">
      <c r="A103" s="42" t="s">
        <v>132</v>
      </c>
      <c r="B103" s="30" t="s">
        <v>133</v>
      </c>
      <c r="C103" s="30" t="s">
        <v>134</v>
      </c>
      <c r="D103" s="64">
        <f>D83*D59/D61</f>
        <v>60</v>
      </c>
      <c r="E103" s="14"/>
      <c r="F103" s="48" t="s">
        <v>138</v>
      </c>
      <c r="G103" s="20" t="s">
        <v>139</v>
      </c>
      <c r="H103" s="121" t="s">
        <v>140</v>
      </c>
      <c r="I103" s="120">
        <f>I97+I99</f>
        <v>276.33582213784155</v>
      </c>
    </row>
    <row r="104" spans="1:16" ht="30" x14ac:dyDescent="0.25">
      <c r="A104" s="51" t="s">
        <v>135</v>
      </c>
      <c r="B104" s="31" t="s">
        <v>578</v>
      </c>
      <c r="C104" s="31" t="s">
        <v>524</v>
      </c>
      <c r="D104" s="65">
        <f>D83*D60/D61</f>
        <v>40</v>
      </c>
      <c r="E104" s="14"/>
      <c r="F104" s="42" t="s">
        <v>142</v>
      </c>
      <c r="G104" s="2" t="s">
        <v>580</v>
      </c>
      <c r="H104" s="77" t="s">
        <v>548</v>
      </c>
      <c r="I104" s="46">
        <f>I98+I100</f>
        <v>280.57680401248558</v>
      </c>
    </row>
    <row r="105" spans="1:16" ht="30" x14ac:dyDescent="0.25">
      <c r="A105" s="42" t="s">
        <v>136</v>
      </c>
      <c r="B105" s="30" t="s">
        <v>137</v>
      </c>
      <c r="C105" s="30" t="s">
        <v>685</v>
      </c>
      <c r="D105" s="64">
        <f>D96*D59/D61</f>
        <v>6</v>
      </c>
      <c r="E105" s="14"/>
      <c r="F105" s="42" t="s">
        <v>146</v>
      </c>
      <c r="G105" s="2" t="s">
        <v>147</v>
      </c>
      <c r="H105" s="2" t="s">
        <v>148</v>
      </c>
      <c r="I105" s="46">
        <f>D85+I79+I89</f>
        <v>135.07853123475289</v>
      </c>
    </row>
    <row r="106" spans="1:16" ht="30" x14ac:dyDescent="0.25">
      <c r="A106" s="51" t="s">
        <v>141</v>
      </c>
      <c r="B106" s="31" t="s">
        <v>579</v>
      </c>
      <c r="C106" s="31" t="s">
        <v>686</v>
      </c>
      <c r="D106" s="65">
        <f>D96*D60/D61</f>
        <v>4</v>
      </c>
      <c r="E106" s="14"/>
      <c r="F106" s="42" t="s">
        <v>149</v>
      </c>
      <c r="G106" s="2" t="s">
        <v>581</v>
      </c>
      <c r="H106" s="2" t="s">
        <v>564</v>
      </c>
      <c r="I106" s="46">
        <f>D87+I82+I92</f>
        <v>1.2994483337191824</v>
      </c>
    </row>
    <row r="107" spans="1:16" ht="30" x14ac:dyDescent="0.25">
      <c r="A107" s="51" t="s">
        <v>143</v>
      </c>
      <c r="B107" s="31" t="s">
        <v>144</v>
      </c>
      <c r="C107" s="31" t="s">
        <v>145</v>
      </c>
      <c r="D107" s="53">
        <f>D95-D96-SUM(D97:D102)</f>
        <v>242</v>
      </c>
      <c r="E107" s="14"/>
      <c r="F107" s="42" t="s">
        <v>150</v>
      </c>
      <c r="G107" s="2" t="s">
        <v>151</v>
      </c>
      <c r="H107" s="2" t="s">
        <v>152</v>
      </c>
      <c r="I107" s="46">
        <f>D88+I83+I93</f>
        <v>14.274748732450716</v>
      </c>
    </row>
    <row r="108" spans="1:16" x14ac:dyDescent="0.25">
      <c r="E108" s="14"/>
      <c r="F108" s="51" t="s">
        <v>153</v>
      </c>
      <c r="G108" s="3" t="s">
        <v>154</v>
      </c>
      <c r="H108" s="3" t="s">
        <v>155</v>
      </c>
      <c r="I108" s="47">
        <f>D89+I84+I94</f>
        <v>742.43464554875004</v>
      </c>
    </row>
    <row r="109" spans="1:16" x14ac:dyDescent="0.25">
      <c r="E109" s="14"/>
      <c r="F109" s="81"/>
      <c r="G109" s="4"/>
      <c r="H109" s="82"/>
      <c r="I109" s="97"/>
    </row>
    <row r="110" spans="1:16" x14ac:dyDescent="0.25">
      <c r="A110" s="6"/>
      <c r="B110" s="6"/>
      <c r="C110" s="6"/>
      <c r="D110" s="15"/>
      <c r="E110" s="16"/>
      <c r="F110" s="6"/>
      <c r="G110" s="6"/>
      <c r="H110" s="7"/>
      <c r="I110" s="7"/>
      <c r="J110" s="6"/>
      <c r="K110" s="6"/>
      <c r="L110" s="6"/>
      <c r="M110" s="6"/>
      <c r="N110" s="6"/>
      <c r="O110" s="6"/>
      <c r="P110" s="6"/>
    </row>
    <row r="111" spans="1:16" ht="32.25" thickBot="1" x14ac:dyDescent="0.4">
      <c r="A111" s="55" t="s">
        <v>166</v>
      </c>
      <c r="C111" s="299" t="s">
        <v>869</v>
      </c>
    </row>
    <row r="112" spans="1:16" ht="21" x14ac:dyDescent="0.35">
      <c r="A112" s="40" t="s">
        <v>35</v>
      </c>
      <c r="B112" s="28" t="s">
        <v>36</v>
      </c>
      <c r="C112" s="28" t="s">
        <v>11</v>
      </c>
      <c r="D112" s="41" t="s">
        <v>58</v>
      </c>
      <c r="F112" s="40" t="s">
        <v>35</v>
      </c>
      <c r="G112" s="28" t="s">
        <v>36</v>
      </c>
      <c r="H112" s="28" t="s">
        <v>11</v>
      </c>
      <c r="I112" s="41" t="s">
        <v>58</v>
      </c>
      <c r="K112" s="253" t="s">
        <v>156</v>
      </c>
      <c r="L112" s="254"/>
      <c r="M112" s="254"/>
      <c r="N112" s="254"/>
      <c r="O112" s="254"/>
      <c r="P112" s="255"/>
    </row>
    <row r="113" spans="1:16" ht="45" x14ac:dyDescent="0.25">
      <c r="A113" s="158"/>
      <c r="B113" s="128" t="s">
        <v>167</v>
      </c>
      <c r="C113" s="128" t="s">
        <v>705</v>
      </c>
      <c r="D113" s="49">
        <v>1800</v>
      </c>
      <c r="F113" s="158" t="s">
        <v>309</v>
      </c>
      <c r="G113" s="223" t="s">
        <v>294</v>
      </c>
      <c r="H113" s="223" t="s">
        <v>295</v>
      </c>
      <c r="I113" s="122">
        <f>D141+D142+D144+D159</f>
        <v>459</v>
      </c>
      <c r="K113" s="256" t="s">
        <v>865</v>
      </c>
      <c r="L113" s="23"/>
      <c r="M113" s="23"/>
      <c r="N113" s="23"/>
      <c r="O113" s="23"/>
      <c r="P113" s="257"/>
    </row>
    <row r="114" spans="1:16" ht="45" x14ac:dyDescent="0.25">
      <c r="A114" s="159"/>
      <c r="B114" s="23" t="s">
        <v>171</v>
      </c>
      <c r="C114" s="23" t="s">
        <v>706</v>
      </c>
      <c r="D114" s="50">
        <v>500</v>
      </c>
      <c r="F114" s="42"/>
      <c r="G114" s="2" t="s">
        <v>296</v>
      </c>
      <c r="H114" s="2" t="s">
        <v>297</v>
      </c>
      <c r="I114" s="62">
        <v>30</v>
      </c>
      <c r="K114" s="258" t="s">
        <v>866</v>
      </c>
      <c r="L114" s="259"/>
      <c r="M114" s="157"/>
      <c r="N114" s="199"/>
      <c r="O114" s="260"/>
      <c r="P114" s="261"/>
    </row>
    <row r="115" spans="1:16" ht="45" x14ac:dyDescent="0.25">
      <c r="A115" s="249"/>
      <c r="B115" s="23" t="s">
        <v>175</v>
      </c>
      <c r="C115" s="23" t="s">
        <v>176</v>
      </c>
      <c r="D115" s="50">
        <v>30</v>
      </c>
      <c r="F115" s="42"/>
      <c r="G115" s="2" t="s">
        <v>298</v>
      </c>
      <c r="H115" s="2" t="s">
        <v>299</v>
      </c>
      <c r="I115" s="62">
        <v>10</v>
      </c>
      <c r="K115" s="262"/>
      <c r="L115" s="195"/>
      <c r="M115" s="178" t="s">
        <v>811</v>
      </c>
      <c r="N115" s="234" t="s">
        <v>811</v>
      </c>
      <c r="O115" s="178" t="s">
        <v>812</v>
      </c>
      <c r="P115" s="235" t="s">
        <v>812</v>
      </c>
    </row>
    <row r="116" spans="1:16" ht="45" x14ac:dyDescent="0.25">
      <c r="A116" s="159"/>
      <c r="B116" s="23" t="s">
        <v>180</v>
      </c>
      <c r="C116" s="23" t="s">
        <v>181</v>
      </c>
      <c r="D116" s="50">
        <v>5</v>
      </c>
      <c r="F116" s="21"/>
      <c r="G116" s="2" t="s">
        <v>300</v>
      </c>
      <c r="H116" s="2" t="s">
        <v>301</v>
      </c>
      <c r="I116" s="62">
        <v>10</v>
      </c>
      <c r="K116" s="263" t="s">
        <v>715</v>
      </c>
      <c r="L116" s="189" t="s">
        <v>622</v>
      </c>
      <c r="M116" s="236" t="s">
        <v>35</v>
      </c>
      <c r="N116" s="189" t="s">
        <v>12</v>
      </c>
      <c r="O116" s="236" t="s">
        <v>35</v>
      </c>
      <c r="P116" s="264" t="s">
        <v>12</v>
      </c>
    </row>
    <row r="117" spans="1:16" ht="45" x14ac:dyDescent="0.25">
      <c r="A117" s="159"/>
      <c r="B117" s="23" t="s">
        <v>183</v>
      </c>
      <c r="C117" s="23" t="s">
        <v>184</v>
      </c>
      <c r="D117" s="50">
        <v>10</v>
      </c>
      <c r="F117" s="42"/>
      <c r="G117" s="77" t="s">
        <v>598</v>
      </c>
      <c r="H117" s="2" t="s">
        <v>555</v>
      </c>
      <c r="I117" s="62">
        <v>10</v>
      </c>
      <c r="K117" s="265" t="s">
        <v>711</v>
      </c>
      <c r="L117" s="215" t="s">
        <v>639</v>
      </c>
      <c r="M117" s="178" t="s">
        <v>262</v>
      </c>
      <c r="N117" s="242">
        <f>D130*1000/D72</f>
        <v>7.7028571428571428</v>
      </c>
      <c r="O117" s="178" t="s">
        <v>628</v>
      </c>
      <c r="P117" s="241">
        <f>1000*(I143-(D120-D124))/D72</f>
        <v>0.7567640449438201</v>
      </c>
    </row>
    <row r="118" spans="1:16" ht="45" x14ac:dyDescent="0.25">
      <c r="A118" s="159"/>
      <c r="B118" s="23" t="s">
        <v>186</v>
      </c>
      <c r="C118" s="23" t="s">
        <v>187</v>
      </c>
      <c r="D118" s="50">
        <v>1</v>
      </c>
      <c r="F118" s="42"/>
      <c r="G118" s="77" t="s">
        <v>599</v>
      </c>
      <c r="H118" s="2" t="s">
        <v>556</v>
      </c>
      <c r="I118" s="62">
        <v>0</v>
      </c>
      <c r="K118" s="265" t="s">
        <v>675</v>
      </c>
      <c r="L118" s="215" t="s">
        <v>255</v>
      </c>
      <c r="M118" s="178" t="s">
        <v>263</v>
      </c>
      <c r="N118" s="242">
        <f>I143*1000/D63</f>
        <v>5.0324494382022467</v>
      </c>
      <c r="O118" s="23"/>
      <c r="P118" s="257"/>
    </row>
    <row r="119" spans="1:16" ht="45" x14ac:dyDescent="0.25">
      <c r="A119" s="160" t="s">
        <v>189</v>
      </c>
      <c r="B119" s="32" t="s">
        <v>190</v>
      </c>
      <c r="C119" s="32" t="s">
        <v>822</v>
      </c>
      <c r="D119" s="53">
        <f>SUM(D113:D118)</f>
        <v>2346</v>
      </c>
      <c r="F119" s="42"/>
      <c r="G119" s="2" t="s">
        <v>302</v>
      </c>
      <c r="H119" s="2" t="s">
        <v>303</v>
      </c>
      <c r="I119" s="50">
        <v>2</v>
      </c>
      <c r="K119" s="265" t="s">
        <v>713</v>
      </c>
      <c r="L119" s="215" t="s">
        <v>255</v>
      </c>
      <c r="M119" s="178" t="s">
        <v>266</v>
      </c>
      <c r="N119" s="348" t="str">
        <f>IFERROR(1000*I145/D66,"-")</f>
        <v>-</v>
      </c>
      <c r="O119" s="23"/>
      <c r="P119" s="257"/>
    </row>
    <row r="120" spans="1:16" ht="45" x14ac:dyDescent="0.25">
      <c r="A120" s="158"/>
      <c r="B120" s="250" t="s">
        <v>194</v>
      </c>
      <c r="C120" s="23" t="s">
        <v>868</v>
      </c>
      <c r="D120" s="49">
        <v>500</v>
      </c>
      <c r="F120" s="51"/>
      <c r="G120" s="3" t="s">
        <v>304</v>
      </c>
      <c r="H120" s="3" t="s">
        <v>305</v>
      </c>
      <c r="I120" s="54">
        <v>30</v>
      </c>
      <c r="K120" s="265" t="s">
        <v>712</v>
      </c>
      <c r="L120" s="215" t="s">
        <v>255</v>
      </c>
      <c r="M120" s="178" t="s">
        <v>275</v>
      </c>
      <c r="N120" s="242" t="str">
        <f>IFERROR(1000*(I143/D63+I145/D66),"-")</f>
        <v>-</v>
      </c>
      <c r="O120" s="23"/>
      <c r="P120" s="257"/>
    </row>
    <row r="121" spans="1:16" x14ac:dyDescent="0.25">
      <c r="A121" s="160" t="s">
        <v>198</v>
      </c>
      <c r="B121" s="32" t="s">
        <v>199</v>
      </c>
      <c r="C121" s="32" t="s">
        <v>200</v>
      </c>
      <c r="D121" s="53">
        <f>D119+D120</f>
        <v>2846</v>
      </c>
      <c r="F121" s="42" t="s">
        <v>310</v>
      </c>
      <c r="G121" s="30" t="s">
        <v>311</v>
      </c>
      <c r="H121" s="2" t="s">
        <v>511</v>
      </c>
      <c r="I121" s="56">
        <f>I114*D59/D61</f>
        <v>18</v>
      </c>
      <c r="K121" s="265" t="s">
        <v>678</v>
      </c>
      <c r="L121" s="215" t="s">
        <v>255</v>
      </c>
      <c r="M121" s="178" t="s">
        <v>276</v>
      </c>
      <c r="N121" s="242">
        <f>I144*1000/D64</f>
        <v>3.8928539325842699</v>
      </c>
      <c r="O121" s="178" t="s">
        <v>716</v>
      </c>
      <c r="P121" s="241">
        <f>(I144-(D120-D124))*1000/D64</f>
        <v>1.4428539325842695</v>
      </c>
    </row>
    <row r="122" spans="1:16" ht="30" x14ac:dyDescent="0.25">
      <c r="A122" s="159"/>
      <c r="B122" s="23" t="s">
        <v>202</v>
      </c>
      <c r="C122" s="23" t="s">
        <v>203</v>
      </c>
      <c r="D122" s="50">
        <v>5</v>
      </c>
      <c r="F122" s="51" t="s">
        <v>312</v>
      </c>
      <c r="G122" s="31" t="s">
        <v>600</v>
      </c>
      <c r="H122" s="3" t="s">
        <v>531</v>
      </c>
      <c r="I122" s="53">
        <f>I114*D60/D61</f>
        <v>12</v>
      </c>
      <c r="K122" s="265" t="s">
        <v>714</v>
      </c>
      <c r="L122" s="215" t="s">
        <v>255</v>
      </c>
      <c r="M122" s="178" t="s">
        <v>283</v>
      </c>
      <c r="N122" s="348" t="str">
        <f>IFERROR(1000*I146/D67,"-")</f>
        <v>-</v>
      </c>
      <c r="O122" s="23"/>
      <c r="P122" s="257"/>
    </row>
    <row r="123" spans="1:16" ht="30" x14ac:dyDescent="0.25">
      <c r="A123" s="159"/>
      <c r="B123" s="23" t="s">
        <v>850</v>
      </c>
      <c r="C123" s="23" t="s">
        <v>707</v>
      </c>
      <c r="D123" s="50">
        <v>50</v>
      </c>
      <c r="F123" s="51" t="s">
        <v>313</v>
      </c>
      <c r="G123" s="31" t="s">
        <v>314</v>
      </c>
      <c r="H123" s="3" t="s">
        <v>315</v>
      </c>
      <c r="I123" s="52">
        <f>I113-SUM(I114:I120)</f>
        <v>367</v>
      </c>
      <c r="K123" s="265" t="s">
        <v>682</v>
      </c>
      <c r="L123" s="215" t="s">
        <v>255</v>
      </c>
      <c r="M123" s="178" t="s">
        <v>512</v>
      </c>
      <c r="N123" s="242" t="str">
        <f>IFERROR(1000*(I144/D64+I146/D67),"-")</f>
        <v>-</v>
      </c>
      <c r="O123" s="178" t="s">
        <v>717</v>
      </c>
      <c r="P123" s="243" t="str">
        <f>IFERROR(1000*((I144-(D120-D124))/D64+I146/D67),"0")</f>
        <v>0</v>
      </c>
    </row>
    <row r="124" spans="1:16" x14ac:dyDescent="0.25">
      <c r="A124" s="159"/>
      <c r="B124" s="23" t="s">
        <v>851</v>
      </c>
      <c r="C124" s="23" t="s">
        <v>708</v>
      </c>
      <c r="D124" s="62">
        <v>10</v>
      </c>
      <c r="K124" s="265" t="s">
        <v>683</v>
      </c>
      <c r="L124" s="215" t="s">
        <v>640</v>
      </c>
      <c r="M124" s="249" t="s">
        <v>288</v>
      </c>
      <c r="N124" s="242">
        <f>1000*I148/D70</f>
        <v>1.7784911717495988</v>
      </c>
      <c r="O124" s="23"/>
      <c r="P124" s="257"/>
    </row>
    <row r="125" spans="1:16" ht="60.75" thickBot="1" x14ac:dyDescent="0.3">
      <c r="A125" s="159"/>
      <c r="B125" s="23" t="s">
        <v>204</v>
      </c>
      <c r="C125" s="23" t="s">
        <v>857</v>
      </c>
      <c r="D125" s="275">
        <v>5</v>
      </c>
      <c r="F125" s="40" t="s">
        <v>35</v>
      </c>
      <c r="G125" s="28" t="s">
        <v>36</v>
      </c>
      <c r="H125" s="28" t="s">
        <v>11</v>
      </c>
      <c r="I125" s="41" t="s">
        <v>58</v>
      </c>
      <c r="K125" s="266" t="s">
        <v>684</v>
      </c>
      <c r="L125" s="224" t="s">
        <v>640</v>
      </c>
      <c r="M125" s="267" t="s">
        <v>466</v>
      </c>
      <c r="N125" s="349" t="str">
        <f>IFERROR(1000*(I147/D68+I148/D70),"-")</f>
        <v>-</v>
      </c>
      <c r="O125" s="268"/>
      <c r="P125" s="269"/>
    </row>
    <row r="126" spans="1:16" ht="45.75" thickBot="1" x14ac:dyDescent="0.3">
      <c r="A126" s="160" t="s">
        <v>205</v>
      </c>
      <c r="B126" s="32" t="s">
        <v>206</v>
      </c>
      <c r="C126" s="32" t="s">
        <v>207</v>
      </c>
      <c r="D126" s="65">
        <f>D121+D122-D123-D124-D125</f>
        <v>2786</v>
      </c>
      <c r="F126" s="48" t="s">
        <v>168</v>
      </c>
      <c r="G126" s="20" t="s">
        <v>169</v>
      </c>
      <c r="H126" s="20" t="s">
        <v>170</v>
      </c>
      <c r="I126" s="45">
        <f>I121+$I$123*D139/$D$138</f>
        <v>22.948314606741572</v>
      </c>
    </row>
    <row r="127" spans="1:16" ht="46.5" x14ac:dyDescent="0.35">
      <c r="A127" s="251"/>
      <c r="B127" s="252" t="s">
        <v>709</v>
      </c>
      <c r="C127" s="252" t="s">
        <v>710</v>
      </c>
      <c r="D127" s="276">
        <v>150</v>
      </c>
      <c r="F127" s="42" t="s">
        <v>172</v>
      </c>
      <c r="G127" s="2" t="s">
        <v>173</v>
      </c>
      <c r="H127" s="2" t="s">
        <v>174</v>
      </c>
      <c r="I127" s="43">
        <f>I115+I123*D132/D138</f>
        <v>100.71910112359551</v>
      </c>
      <c r="K127" s="270" t="s">
        <v>156</v>
      </c>
      <c r="L127" s="271"/>
      <c r="M127" s="272"/>
      <c r="N127" s="273"/>
      <c r="O127" s="4"/>
    </row>
    <row r="128" spans="1:16" ht="45" x14ac:dyDescent="0.25">
      <c r="A128" s="42"/>
      <c r="B128" s="2" t="s">
        <v>852</v>
      </c>
      <c r="C128" s="23" t="s">
        <v>209</v>
      </c>
      <c r="D128" s="50">
        <v>80</v>
      </c>
      <c r="F128" s="42" t="s">
        <v>177</v>
      </c>
      <c r="G128" s="2" t="s">
        <v>178</v>
      </c>
      <c r="H128" s="2" t="s">
        <v>179</v>
      </c>
      <c r="I128" s="43">
        <f>I116+I123*D133/D138</f>
        <v>108.96629213483146</v>
      </c>
      <c r="K128" s="258" t="s">
        <v>813</v>
      </c>
      <c r="L128" s="177" t="s">
        <v>622</v>
      </c>
      <c r="M128" s="178" t="s">
        <v>35</v>
      </c>
      <c r="N128" s="235" t="s">
        <v>12</v>
      </c>
    </row>
    <row r="129" spans="1:14" ht="60.75" thickBot="1" x14ac:dyDescent="0.3">
      <c r="A129" s="159"/>
      <c r="B129" s="23" t="s">
        <v>208</v>
      </c>
      <c r="C129" s="23" t="s">
        <v>858</v>
      </c>
      <c r="D129" s="62">
        <v>10</v>
      </c>
      <c r="F129" s="42" t="s">
        <v>182</v>
      </c>
      <c r="G129" s="2" t="s">
        <v>582</v>
      </c>
      <c r="H129" s="2" t="s">
        <v>525</v>
      </c>
      <c r="I129" s="43">
        <f>I122+$I$123*D140/$D$138</f>
        <v>15.298876404494383</v>
      </c>
      <c r="K129" s="246" t="s">
        <v>814</v>
      </c>
      <c r="L129" s="202" t="s">
        <v>255</v>
      </c>
      <c r="M129" s="247" t="s">
        <v>513</v>
      </c>
      <c r="N129" s="274">
        <f>1000*D120/D64</f>
        <v>2.5</v>
      </c>
    </row>
    <row r="130" spans="1:14" ht="45" x14ac:dyDescent="0.25">
      <c r="A130" s="42" t="s">
        <v>212</v>
      </c>
      <c r="B130" s="30" t="s">
        <v>213</v>
      </c>
      <c r="C130" s="30" t="s">
        <v>214</v>
      </c>
      <c r="D130" s="64">
        <f>D126-D128-D129</f>
        <v>2696</v>
      </c>
      <c r="E130" s="36"/>
      <c r="F130" s="42" t="s">
        <v>185</v>
      </c>
      <c r="G130" s="2" t="s">
        <v>583</v>
      </c>
      <c r="H130" s="2" t="s">
        <v>549</v>
      </c>
      <c r="I130" s="43">
        <f>I117+I123*D134/D138</f>
        <v>92.471910112359552</v>
      </c>
    </row>
    <row r="131" spans="1:14" ht="60" x14ac:dyDescent="0.25">
      <c r="A131" s="90"/>
      <c r="B131" s="20" t="s">
        <v>215</v>
      </c>
      <c r="C131" s="128" t="s">
        <v>527</v>
      </c>
      <c r="D131" s="49">
        <v>50</v>
      </c>
      <c r="E131" s="36"/>
      <c r="F131" s="42" t="s">
        <v>188</v>
      </c>
      <c r="G131" s="2" t="s">
        <v>584</v>
      </c>
      <c r="H131" s="2" t="s">
        <v>550</v>
      </c>
      <c r="I131" s="201">
        <f>I118+I123*D135/D138</f>
        <v>1.649438202247191</v>
      </c>
      <c r="L131" s="177"/>
    </row>
    <row r="132" spans="1:14" ht="45" x14ac:dyDescent="0.25">
      <c r="A132" s="42"/>
      <c r="B132" s="2" t="s">
        <v>219</v>
      </c>
      <c r="C132" s="23" t="s">
        <v>220</v>
      </c>
      <c r="D132" s="50">
        <v>550</v>
      </c>
      <c r="E132" s="36"/>
      <c r="F132" s="42" t="s">
        <v>191</v>
      </c>
      <c r="G132" s="2" t="s">
        <v>192</v>
      </c>
      <c r="H132" s="2" t="s">
        <v>193</v>
      </c>
      <c r="I132" s="123">
        <f>I119+$I$123*D136/$D$138</f>
        <v>4.4741573033707862</v>
      </c>
    </row>
    <row r="133" spans="1:14" ht="45" x14ac:dyDescent="0.25">
      <c r="A133" s="21"/>
      <c r="B133" s="2" t="s">
        <v>222</v>
      </c>
      <c r="C133" s="2" t="s">
        <v>223</v>
      </c>
      <c r="D133" s="50">
        <v>600</v>
      </c>
      <c r="E133" s="36"/>
      <c r="F133" s="42" t="s">
        <v>195</v>
      </c>
      <c r="G133" s="2" t="s">
        <v>196</v>
      </c>
      <c r="H133" s="2" t="s">
        <v>197</v>
      </c>
      <c r="I133" s="124">
        <f>I120+$I$123*D137/$D$138</f>
        <v>112.47191011235955</v>
      </c>
    </row>
    <row r="134" spans="1:14" ht="30" x14ac:dyDescent="0.25">
      <c r="A134" s="21"/>
      <c r="B134" s="2" t="s">
        <v>587</v>
      </c>
      <c r="C134" s="2" t="s">
        <v>552</v>
      </c>
      <c r="D134" s="50">
        <v>500</v>
      </c>
      <c r="E134" s="36"/>
      <c r="F134" s="22"/>
      <c r="G134" s="3"/>
      <c r="H134" s="86" t="s">
        <v>201</v>
      </c>
      <c r="I134" s="87">
        <f>SUM(I126:I133)-I113</f>
        <v>0</v>
      </c>
    </row>
    <row r="135" spans="1:14" ht="30" x14ac:dyDescent="0.25">
      <c r="A135" s="21"/>
      <c r="B135" s="2" t="s">
        <v>588</v>
      </c>
      <c r="C135" s="2" t="s">
        <v>565</v>
      </c>
      <c r="D135" s="50">
        <v>10</v>
      </c>
      <c r="E135" s="38"/>
    </row>
    <row r="136" spans="1:14" ht="30" x14ac:dyDescent="0.25">
      <c r="A136" s="42"/>
      <c r="B136" s="2" t="s">
        <v>227</v>
      </c>
      <c r="C136" s="2" t="s">
        <v>228</v>
      </c>
      <c r="D136" s="62">
        <v>15</v>
      </c>
      <c r="E136" s="38"/>
      <c r="F136" s="40" t="s">
        <v>35</v>
      </c>
      <c r="G136" s="28" t="s">
        <v>36</v>
      </c>
      <c r="H136" s="28" t="s">
        <v>11</v>
      </c>
      <c r="I136" s="41" t="s">
        <v>58</v>
      </c>
    </row>
    <row r="137" spans="1:14" ht="30" x14ac:dyDescent="0.25">
      <c r="A137" s="42"/>
      <c r="B137" s="2" t="s">
        <v>230</v>
      </c>
      <c r="C137" s="2" t="s">
        <v>231</v>
      </c>
      <c r="D137" s="62">
        <v>500</v>
      </c>
      <c r="F137" s="48" t="s">
        <v>216</v>
      </c>
      <c r="G137" s="2" t="s">
        <v>210</v>
      </c>
      <c r="H137" s="20" t="s">
        <v>211</v>
      </c>
      <c r="I137" s="60">
        <f>D139+I126+D162-D160</f>
        <v>54.148314606741579</v>
      </c>
    </row>
    <row r="138" spans="1:14" ht="30" x14ac:dyDescent="0.25">
      <c r="A138" s="51" t="s">
        <v>234</v>
      </c>
      <c r="B138" s="31" t="s">
        <v>235</v>
      </c>
      <c r="C138" s="32" t="s">
        <v>236</v>
      </c>
      <c r="D138" s="52">
        <f>SUM(D131:D137)</f>
        <v>2225</v>
      </c>
      <c r="E138" s="37"/>
      <c r="F138" s="42" t="s">
        <v>221</v>
      </c>
      <c r="G138" s="2" t="s">
        <v>585</v>
      </c>
      <c r="H138" s="2" t="s">
        <v>526</v>
      </c>
      <c r="I138" s="57">
        <f>D140+I129+D163-D161</f>
        <v>36.098876404494376</v>
      </c>
    </row>
    <row r="139" spans="1:14" ht="30" x14ac:dyDescent="0.25">
      <c r="A139" s="48" t="s">
        <v>248</v>
      </c>
      <c r="B139" s="125" t="s">
        <v>307</v>
      </c>
      <c r="C139" s="20" t="s">
        <v>308</v>
      </c>
      <c r="D139" s="122">
        <f>D131*D59/D61</f>
        <v>30</v>
      </c>
      <c r="E139" s="39"/>
      <c r="F139" s="42" t="s">
        <v>232</v>
      </c>
      <c r="G139" s="2" t="s">
        <v>217</v>
      </c>
      <c r="H139" s="2" t="s">
        <v>218</v>
      </c>
      <c r="I139" s="57">
        <f>D132+I127+D153-D146</f>
        <v>700.71910112359546</v>
      </c>
    </row>
    <row r="140" spans="1:14" ht="30" x14ac:dyDescent="0.25">
      <c r="A140" s="51" t="s">
        <v>251</v>
      </c>
      <c r="B140" s="31" t="s">
        <v>591</v>
      </c>
      <c r="C140" s="3" t="s">
        <v>528</v>
      </c>
      <c r="D140" s="53">
        <f>D131*D60/D61</f>
        <v>20</v>
      </c>
      <c r="F140" s="51" t="s">
        <v>237</v>
      </c>
      <c r="G140" s="3" t="s">
        <v>586</v>
      </c>
      <c r="H140" s="3" t="s">
        <v>551</v>
      </c>
      <c r="I140" s="52">
        <f>D134+I130+D155-D148</f>
        <v>742.47191011235952</v>
      </c>
    </row>
    <row r="141" spans="1:14" ht="75" x14ac:dyDescent="0.25">
      <c r="A141" s="42"/>
      <c r="B141" s="2" t="s">
        <v>238</v>
      </c>
      <c r="C141" s="84" t="s">
        <v>239</v>
      </c>
      <c r="D141" s="50">
        <v>100</v>
      </c>
    </row>
    <row r="142" spans="1:14" ht="30" x14ac:dyDescent="0.25">
      <c r="A142" s="42"/>
      <c r="B142" s="2" t="s">
        <v>243</v>
      </c>
      <c r="C142" s="23" t="s">
        <v>244</v>
      </c>
      <c r="D142" s="50">
        <v>30</v>
      </c>
      <c r="F142" s="40" t="s">
        <v>35</v>
      </c>
      <c r="G142" s="28" t="s">
        <v>36</v>
      </c>
      <c r="H142" s="28" t="s">
        <v>11</v>
      </c>
      <c r="I142" s="41" t="s">
        <v>58</v>
      </c>
    </row>
    <row r="143" spans="1:14" x14ac:dyDescent="0.25">
      <c r="A143" s="42" t="s">
        <v>281</v>
      </c>
      <c r="B143" s="30" t="s">
        <v>249</v>
      </c>
      <c r="C143" s="34" t="s">
        <v>250</v>
      </c>
      <c r="D143" s="56">
        <f>D138+D141+D142</f>
        <v>2355</v>
      </c>
      <c r="F143" s="42" t="s">
        <v>224</v>
      </c>
      <c r="G143" s="2" t="s">
        <v>225</v>
      </c>
      <c r="H143" s="2" t="s">
        <v>226</v>
      </c>
      <c r="I143" s="57">
        <f>I137+I139</f>
        <v>754.86741573033703</v>
      </c>
    </row>
    <row r="144" spans="1:14" ht="45" x14ac:dyDescent="0.25">
      <c r="A144" s="85" t="s">
        <v>284</v>
      </c>
      <c r="B144" s="31" t="s">
        <v>252</v>
      </c>
      <c r="C144" s="32" t="s">
        <v>641</v>
      </c>
      <c r="D144" s="53">
        <f>D126-D143</f>
        <v>431</v>
      </c>
      <c r="F144" s="42" t="s">
        <v>229</v>
      </c>
      <c r="G144" s="2" t="s">
        <v>589</v>
      </c>
      <c r="H144" s="2" t="s">
        <v>553</v>
      </c>
      <c r="I144" s="57">
        <f>I138+I140</f>
        <v>778.5707865168539</v>
      </c>
    </row>
    <row r="145" spans="1:14" x14ac:dyDescent="0.25">
      <c r="B145" s="2" t="s">
        <v>253</v>
      </c>
      <c r="C145" s="2" t="s">
        <v>254</v>
      </c>
      <c r="D145" s="50">
        <v>0</v>
      </c>
      <c r="F145" s="42" t="s">
        <v>240</v>
      </c>
      <c r="G145" s="2" t="s">
        <v>467</v>
      </c>
      <c r="H145" s="2" t="s">
        <v>233</v>
      </c>
      <c r="I145" s="57">
        <f>D133+I128+D154-D147</f>
        <v>508.96629213483152</v>
      </c>
    </row>
    <row r="146" spans="1:14" ht="30" x14ac:dyDescent="0.25">
      <c r="B146" s="2" t="s">
        <v>256</v>
      </c>
      <c r="C146" s="2" t="s">
        <v>257</v>
      </c>
      <c r="D146" s="50">
        <v>250</v>
      </c>
      <c r="F146" s="42" t="s">
        <v>245</v>
      </c>
      <c r="G146" s="2" t="s">
        <v>590</v>
      </c>
      <c r="H146" s="2" t="s">
        <v>566</v>
      </c>
      <c r="I146" s="64">
        <f>D135+I131+D156-D149</f>
        <v>11.649438202247191</v>
      </c>
    </row>
    <row r="147" spans="1:14" ht="30" x14ac:dyDescent="0.25">
      <c r="B147" s="2" t="s">
        <v>259</v>
      </c>
      <c r="C147" s="2" t="s">
        <v>260</v>
      </c>
      <c r="D147" s="50">
        <v>200</v>
      </c>
      <c r="F147" s="42" t="s">
        <v>258</v>
      </c>
      <c r="G147" s="2" t="s">
        <v>241</v>
      </c>
      <c r="H147" s="2" t="s">
        <v>242</v>
      </c>
      <c r="I147" s="99">
        <f>D136+I132+D157-D150</f>
        <v>19.474157303370788</v>
      </c>
    </row>
    <row r="148" spans="1:14" ht="30" x14ac:dyDescent="0.25">
      <c r="B148" s="2" t="s">
        <v>592</v>
      </c>
      <c r="C148" s="2" t="s">
        <v>867</v>
      </c>
      <c r="D148" s="50">
        <v>100</v>
      </c>
      <c r="F148" s="51" t="s">
        <v>261</v>
      </c>
      <c r="G148" s="3" t="s">
        <v>246</v>
      </c>
      <c r="H148" s="3" t="s">
        <v>247</v>
      </c>
      <c r="I148" s="52">
        <f>D137+I133+D158-D151</f>
        <v>622.47191011235952</v>
      </c>
    </row>
    <row r="149" spans="1:14" ht="30" x14ac:dyDescent="0.25">
      <c r="B149" s="2" t="s">
        <v>593</v>
      </c>
      <c r="C149" s="2" t="s">
        <v>567</v>
      </c>
      <c r="D149" s="50">
        <v>0</v>
      </c>
      <c r="F149" s="94"/>
      <c r="G149" s="20"/>
      <c r="H149" s="20"/>
      <c r="I149" s="98"/>
    </row>
    <row r="150" spans="1:14" ht="30" x14ac:dyDescent="0.25">
      <c r="A150" s="26"/>
      <c r="B150" s="77" t="s">
        <v>264</v>
      </c>
      <c r="C150" s="77" t="s">
        <v>265</v>
      </c>
      <c r="D150" s="50">
        <v>0</v>
      </c>
    </row>
    <row r="151" spans="1:14" ht="30" x14ac:dyDescent="0.25">
      <c r="A151" s="85"/>
      <c r="B151" s="89" t="s">
        <v>267</v>
      </c>
      <c r="C151" s="89" t="s">
        <v>268</v>
      </c>
      <c r="D151" s="54">
        <v>0</v>
      </c>
    </row>
    <row r="152" spans="1:14" x14ac:dyDescent="0.25">
      <c r="A152" s="26"/>
      <c r="B152" s="77" t="s">
        <v>269</v>
      </c>
      <c r="C152" s="84" t="s">
        <v>270</v>
      </c>
      <c r="D152" s="50">
        <v>2</v>
      </c>
      <c r="J152" s="23"/>
      <c r="K152" s="23"/>
      <c r="L152" s="23"/>
      <c r="M152" s="23"/>
      <c r="N152" s="23"/>
    </row>
    <row r="153" spans="1:14" s="23" customFormat="1" ht="30" x14ac:dyDescent="0.25">
      <c r="A153" s="26"/>
      <c r="B153" s="77" t="s">
        <v>271</v>
      </c>
      <c r="C153" s="84" t="s">
        <v>272</v>
      </c>
      <c r="D153" s="50">
        <v>300</v>
      </c>
      <c r="E153" s="2"/>
      <c r="J153" s="2"/>
      <c r="K153" s="2"/>
      <c r="L153" s="2"/>
      <c r="M153" s="2"/>
      <c r="N153" s="2"/>
    </row>
    <row r="154" spans="1:14" x14ac:dyDescent="0.25">
      <c r="A154" s="26"/>
      <c r="B154" s="77" t="s">
        <v>273</v>
      </c>
      <c r="C154" s="84" t="s">
        <v>274</v>
      </c>
      <c r="D154" s="50">
        <v>0</v>
      </c>
    </row>
    <row r="155" spans="1:14" ht="30" x14ac:dyDescent="0.25">
      <c r="A155" s="26"/>
      <c r="B155" s="77" t="s">
        <v>594</v>
      </c>
      <c r="C155" s="77" t="s">
        <v>554</v>
      </c>
      <c r="D155" s="50">
        <v>250</v>
      </c>
    </row>
    <row r="156" spans="1:14" x14ac:dyDescent="0.25">
      <c r="B156" s="2" t="s">
        <v>595</v>
      </c>
      <c r="C156" s="2" t="s">
        <v>568</v>
      </c>
      <c r="D156" s="50">
        <v>0</v>
      </c>
    </row>
    <row r="157" spans="1:14" x14ac:dyDescent="0.25">
      <c r="A157" s="26"/>
      <c r="B157" s="77" t="s">
        <v>277</v>
      </c>
      <c r="C157" s="84" t="s">
        <v>278</v>
      </c>
      <c r="D157" s="50">
        <v>0</v>
      </c>
    </row>
    <row r="158" spans="1:14" x14ac:dyDescent="0.25">
      <c r="A158" s="85"/>
      <c r="B158" s="89" t="s">
        <v>279</v>
      </c>
      <c r="C158" s="156" t="s">
        <v>280</v>
      </c>
      <c r="D158" s="54">
        <v>10</v>
      </c>
      <c r="E158" s="23"/>
    </row>
    <row r="159" spans="1:14" ht="45" x14ac:dyDescent="0.25">
      <c r="A159" s="85" t="s">
        <v>287</v>
      </c>
      <c r="B159" s="31" t="s">
        <v>282</v>
      </c>
      <c r="C159" s="32" t="s">
        <v>642</v>
      </c>
      <c r="D159" s="53">
        <f>SUM(D145:D151)-SUM(D152:D158)-D128-D129</f>
        <v>-102</v>
      </c>
    </row>
    <row r="160" spans="1:14" ht="30" x14ac:dyDescent="0.25">
      <c r="A160" s="158" t="s">
        <v>289</v>
      </c>
      <c r="B160" s="128" t="s">
        <v>285</v>
      </c>
      <c r="C160" s="128" t="s">
        <v>286</v>
      </c>
      <c r="D160" s="122">
        <f>D145*D59/D61</f>
        <v>0</v>
      </c>
    </row>
    <row r="161" spans="1:16" ht="30" x14ac:dyDescent="0.25">
      <c r="A161" s="159" t="s">
        <v>292</v>
      </c>
      <c r="B161" s="23" t="s">
        <v>596</v>
      </c>
      <c r="C161" s="23" t="s">
        <v>529</v>
      </c>
      <c r="D161" s="56">
        <f>D145*D60/D61</f>
        <v>0</v>
      </c>
    </row>
    <row r="162" spans="1:16" x14ac:dyDescent="0.25">
      <c r="A162" s="159" t="s">
        <v>293</v>
      </c>
      <c r="B162" s="23" t="s">
        <v>290</v>
      </c>
      <c r="C162" s="23" t="s">
        <v>291</v>
      </c>
      <c r="D162" s="56">
        <f>D152*D59/D61</f>
        <v>1.2</v>
      </c>
    </row>
    <row r="163" spans="1:16" x14ac:dyDescent="0.25">
      <c r="A163" s="160" t="s">
        <v>306</v>
      </c>
      <c r="B163" s="157" t="s">
        <v>597</v>
      </c>
      <c r="C163" s="157" t="s">
        <v>530</v>
      </c>
      <c r="D163" s="53">
        <f>D152*D60/D61</f>
        <v>0.8</v>
      </c>
    </row>
    <row r="165" spans="1:16" x14ac:dyDescent="0.25">
      <c r="A165" s="6"/>
      <c r="B165" s="6"/>
      <c r="C165" s="6"/>
      <c r="D165" s="6"/>
      <c r="E165" s="6"/>
      <c r="F165" s="6"/>
      <c r="G165" s="6"/>
      <c r="H165" s="6"/>
      <c r="I165" s="6"/>
      <c r="J165" s="6"/>
      <c r="K165" s="6"/>
      <c r="L165" s="6"/>
      <c r="M165" s="6"/>
      <c r="N165" s="6"/>
      <c r="O165" s="6"/>
      <c r="P165" s="6"/>
    </row>
    <row r="166" spans="1:16" ht="21.75" thickBot="1" x14ac:dyDescent="0.4">
      <c r="A166" s="61" t="s">
        <v>316</v>
      </c>
      <c r="C166" s="10"/>
      <c r="D166" s="3"/>
      <c r="E166" s="17"/>
    </row>
    <row r="167" spans="1:16" ht="21" x14ac:dyDescent="0.35">
      <c r="A167" s="40" t="s">
        <v>35</v>
      </c>
      <c r="B167" s="28" t="s">
        <v>36</v>
      </c>
      <c r="C167" s="28" t="s">
        <v>11</v>
      </c>
      <c r="D167" s="41" t="s">
        <v>58</v>
      </c>
      <c r="E167" s="17"/>
      <c r="F167" s="58" t="s">
        <v>35</v>
      </c>
      <c r="G167" s="25" t="s">
        <v>36</v>
      </c>
      <c r="H167" s="25" t="s">
        <v>11</v>
      </c>
      <c r="I167" s="59" t="s">
        <v>58</v>
      </c>
      <c r="K167" s="222" t="s">
        <v>156</v>
      </c>
      <c r="L167" s="220"/>
      <c r="M167" s="220"/>
      <c r="N167" s="220"/>
      <c r="O167" s="220"/>
      <c r="P167" s="221"/>
    </row>
    <row r="168" spans="1:16" ht="15.75" customHeight="1" x14ac:dyDescent="0.25">
      <c r="A168" s="81"/>
      <c r="B168" s="4"/>
      <c r="C168" s="29" t="s">
        <v>648</v>
      </c>
      <c r="D168" s="59"/>
      <c r="E168" s="17"/>
      <c r="F168" s="297"/>
      <c r="G168" s="29"/>
      <c r="H168" s="29" t="s">
        <v>838</v>
      </c>
      <c r="I168" s="298"/>
      <c r="J168" s="35"/>
      <c r="K168" s="300" t="s">
        <v>841</v>
      </c>
      <c r="L168" s="301"/>
      <c r="M168" s="301"/>
      <c r="N168" s="301"/>
      <c r="O168" s="301"/>
      <c r="P168" s="302"/>
    </row>
    <row r="169" spans="1:16" ht="30.75" customHeight="1" x14ac:dyDescent="0.25">
      <c r="A169" s="26"/>
      <c r="B169" s="2" t="s">
        <v>516</v>
      </c>
      <c r="C169" s="2" t="s">
        <v>647</v>
      </c>
      <c r="D169" s="62">
        <v>2985</v>
      </c>
      <c r="F169" s="159"/>
      <c r="G169" s="23" t="s">
        <v>723</v>
      </c>
      <c r="H169" s="23" t="s">
        <v>724</v>
      </c>
      <c r="I169" s="62">
        <v>3</v>
      </c>
      <c r="K169" s="303" t="s">
        <v>842</v>
      </c>
      <c r="L169" s="304"/>
      <c r="M169" s="304"/>
      <c r="N169" s="304"/>
      <c r="O169" s="304"/>
      <c r="P169" s="305"/>
    </row>
    <row r="170" spans="1:16" ht="45" x14ac:dyDescent="0.25">
      <c r="A170" s="26"/>
      <c r="B170" s="2" t="s">
        <v>317</v>
      </c>
      <c r="C170" s="2" t="s">
        <v>318</v>
      </c>
      <c r="D170" s="62">
        <v>30</v>
      </c>
      <c r="F170" s="278"/>
      <c r="G170" s="23" t="s">
        <v>832</v>
      </c>
      <c r="H170" s="23" t="s">
        <v>833</v>
      </c>
      <c r="I170" s="62">
        <v>2</v>
      </c>
      <c r="K170" s="262"/>
      <c r="L170" s="284"/>
      <c r="M170" s="178" t="s">
        <v>811</v>
      </c>
      <c r="N170" s="234" t="s">
        <v>811</v>
      </c>
      <c r="O170" s="178" t="s">
        <v>812</v>
      </c>
      <c r="P170" s="235" t="s">
        <v>812</v>
      </c>
    </row>
    <row r="171" spans="1:16" ht="30" x14ac:dyDescent="0.25">
      <c r="A171" s="26"/>
      <c r="B171" s="2" t="s">
        <v>319</v>
      </c>
      <c r="C171" s="2" t="s">
        <v>320</v>
      </c>
      <c r="D171" s="62">
        <v>10</v>
      </c>
      <c r="E171" s="13"/>
      <c r="F171" s="159"/>
      <c r="G171" s="23" t="s">
        <v>835</v>
      </c>
      <c r="H171" s="23" t="s">
        <v>834</v>
      </c>
      <c r="I171" s="62">
        <v>2</v>
      </c>
      <c r="K171" s="285" t="s">
        <v>750</v>
      </c>
      <c r="L171" s="189" t="s">
        <v>622</v>
      </c>
      <c r="M171" s="236" t="s">
        <v>35</v>
      </c>
      <c r="N171" s="189" t="s">
        <v>12</v>
      </c>
      <c r="O171" s="236" t="s">
        <v>35</v>
      </c>
      <c r="P171" s="264" t="s">
        <v>12</v>
      </c>
    </row>
    <row r="172" spans="1:16" ht="45" x14ac:dyDescent="0.25">
      <c r="A172" s="26" t="s">
        <v>324</v>
      </c>
      <c r="B172" s="30" t="s">
        <v>325</v>
      </c>
      <c r="C172" s="30" t="s">
        <v>326</v>
      </c>
      <c r="D172" s="56">
        <f>D169+D170-D171</f>
        <v>3005</v>
      </c>
      <c r="F172" s="160" t="s">
        <v>333</v>
      </c>
      <c r="G172" s="32" t="s">
        <v>830</v>
      </c>
      <c r="H172" s="32" t="s">
        <v>831</v>
      </c>
      <c r="I172" s="65">
        <f>I169+I170+I171</f>
        <v>7</v>
      </c>
      <c r="K172" s="265" t="s">
        <v>711</v>
      </c>
      <c r="L172" s="215" t="s">
        <v>639</v>
      </c>
      <c r="M172" s="178" t="s">
        <v>749</v>
      </c>
      <c r="N172" s="242">
        <f>1000*I175/D72</f>
        <v>8.6966386554621842</v>
      </c>
      <c r="O172" s="178" t="s">
        <v>761</v>
      </c>
      <c r="P172" s="243">
        <f>I199*1000/D72</f>
        <v>0.67714285714285716</v>
      </c>
    </row>
    <row r="173" spans="1:16" x14ac:dyDescent="0.25">
      <c r="A173" s="26"/>
      <c r="C173" s="30" t="s">
        <v>327</v>
      </c>
      <c r="D173" s="69">
        <f>D172-D175-D188</f>
        <v>0</v>
      </c>
      <c r="F173" s="23"/>
      <c r="G173" s="23"/>
      <c r="H173" s="23"/>
      <c r="K173" s="265" t="s">
        <v>675</v>
      </c>
      <c r="L173" s="215" t="s">
        <v>255</v>
      </c>
      <c r="M173" s="178" t="s">
        <v>751</v>
      </c>
      <c r="N173" s="242">
        <f>I190*1000/D63</f>
        <v>7.2350501540292385</v>
      </c>
      <c r="O173" s="178" t="s">
        <v>765</v>
      </c>
      <c r="P173" s="243">
        <f>1000*I200/D63</f>
        <v>0.84933333333333338</v>
      </c>
    </row>
    <row r="174" spans="1:16" ht="30" x14ac:dyDescent="0.25">
      <c r="A174" s="58"/>
      <c r="B174" s="25"/>
      <c r="C174" s="88" t="s">
        <v>328</v>
      </c>
      <c r="D174" s="59"/>
      <c r="F174" s="279" t="s">
        <v>35</v>
      </c>
      <c r="G174" s="280" t="s">
        <v>36</v>
      </c>
      <c r="H174" s="280" t="s">
        <v>11</v>
      </c>
      <c r="I174" s="41" t="s">
        <v>58</v>
      </c>
      <c r="K174" s="265" t="s">
        <v>754</v>
      </c>
      <c r="L174" s="215" t="s">
        <v>255</v>
      </c>
      <c r="M174" s="178" t="s">
        <v>752</v>
      </c>
      <c r="N174" s="348" t="str">
        <f>IFERROR(1000*I192/D66,"-")</f>
        <v>-</v>
      </c>
      <c r="O174" s="178" t="s">
        <v>766</v>
      </c>
      <c r="P174" s="243" t="str">
        <f>IFERROR(1000*I202/D66,"-")</f>
        <v>-</v>
      </c>
    </row>
    <row r="175" spans="1:16" ht="30" x14ac:dyDescent="0.25">
      <c r="A175" s="159"/>
      <c r="B175" s="23" t="s">
        <v>332</v>
      </c>
      <c r="C175" s="23" t="s">
        <v>718</v>
      </c>
      <c r="D175" s="62">
        <v>3005</v>
      </c>
      <c r="F175" s="251" t="s">
        <v>338</v>
      </c>
      <c r="G175" s="252" t="s">
        <v>322</v>
      </c>
      <c r="H175" s="156" t="s">
        <v>323</v>
      </c>
      <c r="I175" s="80">
        <f>D186+D199+D206-I172</f>
        <v>3043.8235294117644</v>
      </c>
      <c r="K175" s="265" t="s">
        <v>712</v>
      </c>
      <c r="L175" s="215" t="s">
        <v>255</v>
      </c>
      <c r="M175" s="178" t="s">
        <v>753</v>
      </c>
      <c r="N175" s="242" t="str">
        <f>IFERROR(1000*(I190/D63+I192/D66),"-")</f>
        <v>-</v>
      </c>
      <c r="O175" s="178" t="s">
        <v>767</v>
      </c>
      <c r="P175" s="243" t="str">
        <f>IFERROR(1000*(I200/D63+I202/D66),"-")</f>
        <v>-</v>
      </c>
    </row>
    <row r="176" spans="1:16" x14ac:dyDescent="0.25">
      <c r="A176" s="249"/>
      <c r="B176" s="23" t="s">
        <v>336</v>
      </c>
      <c r="C176" s="23" t="s">
        <v>337</v>
      </c>
      <c r="D176" s="62">
        <v>0</v>
      </c>
      <c r="F176" s="23"/>
      <c r="G176" s="23"/>
      <c r="H176" s="23"/>
      <c r="K176" s="265" t="s">
        <v>678</v>
      </c>
      <c r="L176" s="215" t="s">
        <v>255</v>
      </c>
      <c r="M176" s="178" t="s">
        <v>755</v>
      </c>
      <c r="N176" s="242">
        <f>I191*1000/D64</f>
        <v>2.0246297228192773</v>
      </c>
      <c r="O176" s="178" t="s">
        <v>768</v>
      </c>
      <c r="P176" s="243">
        <f>1000*I201/D64</f>
        <v>0.25800000000000001</v>
      </c>
    </row>
    <row r="177" spans="1:16" ht="30" x14ac:dyDescent="0.25">
      <c r="A177" s="249"/>
      <c r="B177" s="23" t="s">
        <v>339</v>
      </c>
      <c r="C177" s="23" t="s">
        <v>340</v>
      </c>
      <c r="D177" s="62">
        <v>0</v>
      </c>
      <c r="F177" s="279" t="s">
        <v>35</v>
      </c>
      <c r="G177" s="280" t="s">
        <v>36</v>
      </c>
      <c r="H177" s="280" t="s">
        <v>11</v>
      </c>
      <c r="I177" s="41" t="s">
        <v>58</v>
      </c>
      <c r="K177" s="265" t="s">
        <v>758</v>
      </c>
      <c r="L177" s="215" t="s">
        <v>255</v>
      </c>
      <c r="M177" s="178" t="s">
        <v>756</v>
      </c>
      <c r="N177" s="242" t="str">
        <f>IFERROR(1000*I193/D67,"-")</f>
        <v>-</v>
      </c>
      <c r="O177" s="178" t="s">
        <v>769</v>
      </c>
      <c r="P177" s="243" t="str">
        <f>IFERROR(1000*I203/D67,"-")</f>
        <v>-</v>
      </c>
    </row>
    <row r="178" spans="1:16" ht="30" x14ac:dyDescent="0.25">
      <c r="A178" s="159"/>
      <c r="B178" s="23" t="s">
        <v>342</v>
      </c>
      <c r="C178" s="23" t="s">
        <v>343</v>
      </c>
      <c r="D178" s="62">
        <v>30</v>
      </c>
      <c r="F178" s="158" t="s">
        <v>341</v>
      </c>
      <c r="G178" s="128" t="s">
        <v>330</v>
      </c>
      <c r="H178" s="128" t="s">
        <v>331</v>
      </c>
      <c r="I178" s="60">
        <f>D186*I143/(D130-(D120-D124))</f>
        <v>962.85752310438556</v>
      </c>
      <c r="K178" s="265" t="s">
        <v>682</v>
      </c>
      <c r="L178" s="215" t="s">
        <v>255</v>
      </c>
      <c r="M178" s="178" t="s">
        <v>757</v>
      </c>
      <c r="N178" s="242" t="str">
        <f>IFERROR(1000*(I191/D64+I193/D67),"-")</f>
        <v>-</v>
      </c>
      <c r="O178" s="178" t="s">
        <v>762</v>
      </c>
      <c r="P178" s="243" t="str">
        <f>IFERROR(1000*(I201/D64+I203/D67),"-")</f>
        <v>-</v>
      </c>
    </row>
    <row r="179" spans="1:16" ht="30" x14ac:dyDescent="0.25">
      <c r="A179" s="159"/>
      <c r="B179" s="23" t="s">
        <v>344</v>
      </c>
      <c r="C179" s="23" t="s">
        <v>369</v>
      </c>
      <c r="D179" s="62">
        <v>20</v>
      </c>
      <c r="F179" s="159" t="s">
        <v>348</v>
      </c>
      <c r="G179" s="23" t="s">
        <v>601</v>
      </c>
      <c r="H179" s="23" t="s">
        <v>557</v>
      </c>
      <c r="I179" s="66">
        <f>D186*(I144-D120)/(D130-(D120-D124))</f>
        <v>355.32594456385544</v>
      </c>
      <c r="J179" s="14"/>
      <c r="K179" s="265" t="s">
        <v>683</v>
      </c>
      <c r="L179" s="215" t="s">
        <v>640</v>
      </c>
      <c r="M179" s="178" t="s">
        <v>759</v>
      </c>
      <c r="N179" s="350">
        <f>1000*I195/D70</f>
        <v>2.3399509222536485</v>
      </c>
      <c r="O179" s="178" t="s">
        <v>763</v>
      </c>
      <c r="P179" s="241">
        <f>1000*I205/D70</f>
        <v>7.1428571428571425E-2</v>
      </c>
    </row>
    <row r="180" spans="1:16" ht="45.75" thickBot="1" x14ac:dyDescent="0.3">
      <c r="A180" s="277" t="s">
        <v>345</v>
      </c>
      <c r="B180" s="32" t="s">
        <v>346</v>
      </c>
      <c r="C180" s="32" t="s">
        <v>347</v>
      </c>
      <c r="D180" s="53">
        <f>SUM(D175:D179)</f>
        <v>3055</v>
      </c>
      <c r="F180" s="159" t="s">
        <v>352</v>
      </c>
      <c r="G180" s="23" t="s">
        <v>334</v>
      </c>
      <c r="H180" s="23" t="s">
        <v>335</v>
      </c>
      <c r="I180" s="66">
        <f>D186*I145/(D130-(D120-D124))</f>
        <v>649.20277809902575</v>
      </c>
      <c r="J180" s="14"/>
      <c r="K180" s="286" t="s">
        <v>684</v>
      </c>
      <c r="L180" s="224" t="s">
        <v>640</v>
      </c>
      <c r="M180" s="247" t="s">
        <v>760</v>
      </c>
      <c r="N180" s="351" t="str">
        <f>IFERROR(1000*(I194/D68+I195/D70),"-")</f>
        <v>-</v>
      </c>
      <c r="O180" s="247" t="s">
        <v>764</v>
      </c>
      <c r="P180" s="287" t="str">
        <f>IFERROR(1000*(I204/D68+I205/D70),"-")</f>
        <v>-</v>
      </c>
    </row>
    <row r="181" spans="1:16" ht="90" x14ac:dyDescent="0.25">
      <c r="A181" s="159"/>
      <c r="B181" s="23" t="s">
        <v>351</v>
      </c>
      <c r="C181" s="23" t="s">
        <v>859</v>
      </c>
      <c r="D181" s="63">
        <v>0.85</v>
      </c>
      <c r="F181" s="159" t="s">
        <v>357</v>
      </c>
      <c r="G181" s="23" t="s">
        <v>602</v>
      </c>
      <c r="H181" s="23" t="s">
        <v>558</v>
      </c>
      <c r="I181" s="56">
        <f>D186*I146/(D130-(D120-D124))</f>
        <v>14.859230878472998</v>
      </c>
    </row>
    <row r="182" spans="1:16" ht="30" x14ac:dyDescent="0.25">
      <c r="A182" s="249" t="s">
        <v>353</v>
      </c>
      <c r="B182" s="34" t="s">
        <v>853</v>
      </c>
      <c r="C182" s="34" t="s">
        <v>860</v>
      </c>
      <c r="D182" s="64">
        <f>D123/D181</f>
        <v>58.82352941176471</v>
      </c>
      <c r="F182" s="159" t="s">
        <v>360</v>
      </c>
      <c r="G182" s="84" t="s">
        <v>479</v>
      </c>
      <c r="H182" s="84" t="s">
        <v>486</v>
      </c>
      <c r="I182" s="126">
        <f>D186*I147/(D130-(D120-D124))</f>
        <v>24.839910260965855</v>
      </c>
    </row>
    <row r="183" spans="1:16" ht="45" x14ac:dyDescent="0.25">
      <c r="A183" s="277" t="s">
        <v>354</v>
      </c>
      <c r="B183" s="32" t="s">
        <v>719</v>
      </c>
      <c r="C183" s="32" t="s">
        <v>861</v>
      </c>
      <c r="D183" s="65">
        <f>IFERROR(D125/D181,"0")</f>
        <v>5.882352941176471</v>
      </c>
      <c r="F183" s="160" t="s">
        <v>362</v>
      </c>
      <c r="G183" s="156" t="s">
        <v>480</v>
      </c>
      <c r="H183" s="156" t="s">
        <v>485</v>
      </c>
      <c r="I183" s="67">
        <f>D186*I148/(D130-(D120-D124))</f>
        <v>793.98282278877696</v>
      </c>
    </row>
    <row r="184" spans="1:16" ht="60" x14ac:dyDescent="0.25">
      <c r="A184" s="249"/>
      <c r="B184" s="128" t="s">
        <v>720</v>
      </c>
      <c r="C184" s="128" t="s">
        <v>721</v>
      </c>
      <c r="D184" s="73">
        <v>0.85</v>
      </c>
      <c r="F184" s="23"/>
      <c r="G184" s="23"/>
      <c r="H184" s="23"/>
    </row>
    <row r="185" spans="1:16" x14ac:dyDescent="0.25">
      <c r="A185" s="277" t="s">
        <v>371</v>
      </c>
      <c r="B185" s="32" t="s">
        <v>836</v>
      </c>
      <c r="C185" s="32" t="s">
        <v>722</v>
      </c>
      <c r="D185" s="53">
        <f>IFERROR(D127/D184,"0")</f>
        <v>176.47058823529412</v>
      </c>
      <c r="F185" s="279" t="s">
        <v>35</v>
      </c>
      <c r="G185" s="280" t="s">
        <v>36</v>
      </c>
      <c r="H185" s="280" t="s">
        <v>11</v>
      </c>
      <c r="I185" s="41" t="s">
        <v>58</v>
      </c>
    </row>
    <row r="186" spans="1:16" ht="30" x14ac:dyDescent="0.25">
      <c r="A186" s="249" t="s">
        <v>373</v>
      </c>
      <c r="B186" s="34" t="s">
        <v>355</v>
      </c>
      <c r="C186" s="34" t="s">
        <v>356</v>
      </c>
      <c r="D186" s="64">
        <f>D180-D182-D183-D185</f>
        <v>2813.8235294117644</v>
      </c>
      <c r="F186" s="159" t="s">
        <v>365</v>
      </c>
      <c r="G186" s="23" t="s">
        <v>349</v>
      </c>
      <c r="H186" s="23" t="s">
        <v>350</v>
      </c>
      <c r="I186" s="56">
        <f>D207*D59/D61</f>
        <v>32.4</v>
      </c>
    </row>
    <row r="187" spans="1:16" ht="30" x14ac:dyDescent="0.25">
      <c r="A187" s="158"/>
      <c r="B187" s="128"/>
      <c r="C187" s="88" t="s">
        <v>473</v>
      </c>
      <c r="D187" s="68"/>
      <c r="F187" s="160" t="s">
        <v>367</v>
      </c>
      <c r="G187" s="157" t="s">
        <v>603</v>
      </c>
      <c r="H187" s="157" t="s">
        <v>532</v>
      </c>
      <c r="I187" s="53">
        <f>D207*D60/D61</f>
        <v>21.6</v>
      </c>
    </row>
    <row r="188" spans="1:16" x14ac:dyDescent="0.25">
      <c r="A188" s="159"/>
      <c r="B188" s="23" t="s">
        <v>359</v>
      </c>
      <c r="C188" s="23" t="s">
        <v>645</v>
      </c>
      <c r="D188" s="62">
        <v>0</v>
      </c>
      <c r="F188" s="23"/>
      <c r="G188" s="23"/>
      <c r="H188" s="23"/>
    </row>
    <row r="189" spans="1:16" x14ac:dyDescent="0.25">
      <c r="A189" s="249"/>
      <c r="B189" s="23" t="s">
        <v>361</v>
      </c>
      <c r="C189" s="23" t="s">
        <v>337</v>
      </c>
      <c r="D189" s="62">
        <v>100</v>
      </c>
      <c r="F189" s="279" t="s">
        <v>35</v>
      </c>
      <c r="G189" s="280" t="s">
        <v>36</v>
      </c>
      <c r="H189" s="280" t="s">
        <v>738</v>
      </c>
      <c r="I189" s="41" t="s">
        <v>58</v>
      </c>
    </row>
    <row r="190" spans="1:16" x14ac:dyDescent="0.25">
      <c r="A190" s="249"/>
      <c r="B190" s="23" t="s">
        <v>364</v>
      </c>
      <c r="C190" s="23" t="s">
        <v>340</v>
      </c>
      <c r="D190" s="62">
        <v>0</v>
      </c>
      <c r="F190" s="158" t="s">
        <v>370</v>
      </c>
      <c r="G190" s="128" t="s">
        <v>358</v>
      </c>
      <c r="H190" s="128" t="s">
        <v>739</v>
      </c>
      <c r="I190" s="122">
        <f>I178+D194+I186+D208-I169-I170</f>
        <v>1085.2575231043857</v>
      </c>
    </row>
    <row r="191" spans="1:16" x14ac:dyDescent="0.25">
      <c r="A191" s="159"/>
      <c r="B191" s="23" t="s">
        <v>366</v>
      </c>
      <c r="C191" s="23" t="s">
        <v>343</v>
      </c>
      <c r="D191" s="62">
        <v>10</v>
      </c>
      <c r="F191" s="281" t="s">
        <v>375</v>
      </c>
      <c r="G191" s="23" t="s">
        <v>604</v>
      </c>
      <c r="H191" s="23" t="s">
        <v>740</v>
      </c>
      <c r="I191" s="56">
        <f>I179+D195+I187+D209-I171</f>
        <v>404.92594456385547</v>
      </c>
    </row>
    <row r="192" spans="1:16" x14ac:dyDescent="0.25">
      <c r="A192" s="159"/>
      <c r="B192" s="23" t="s">
        <v>368</v>
      </c>
      <c r="C192" s="23" t="s">
        <v>369</v>
      </c>
      <c r="D192" s="62">
        <v>55</v>
      </c>
      <c r="F192" s="281" t="s">
        <v>379</v>
      </c>
      <c r="G192" s="23" t="s">
        <v>363</v>
      </c>
      <c r="H192" s="23" t="s">
        <v>741</v>
      </c>
      <c r="I192" s="66">
        <f>I180+D196+D210</f>
        <v>680.20277809902575</v>
      </c>
    </row>
    <row r="193" spans="1:9" ht="30" x14ac:dyDescent="0.25">
      <c r="A193" s="249" t="s">
        <v>398</v>
      </c>
      <c r="B193" s="34" t="s">
        <v>372</v>
      </c>
      <c r="C193" s="34" t="s">
        <v>823</v>
      </c>
      <c r="D193" s="64">
        <f>SUM(D188:D192)</f>
        <v>165</v>
      </c>
      <c r="F193" s="159" t="s">
        <v>384</v>
      </c>
      <c r="G193" s="23" t="s">
        <v>605</v>
      </c>
      <c r="H193" s="23" t="s">
        <v>742</v>
      </c>
      <c r="I193" s="56">
        <f>I181+D197+D211</f>
        <v>15.859230878472998</v>
      </c>
    </row>
    <row r="194" spans="1:9" ht="30" x14ac:dyDescent="0.25">
      <c r="A194" s="23"/>
      <c r="B194" s="23" t="s">
        <v>727</v>
      </c>
      <c r="C194" s="23" t="s">
        <v>470</v>
      </c>
      <c r="D194" s="62">
        <v>95</v>
      </c>
      <c r="F194" s="159" t="s">
        <v>389</v>
      </c>
      <c r="G194" s="84" t="s">
        <v>481</v>
      </c>
      <c r="H194" s="84" t="s">
        <v>743</v>
      </c>
      <c r="I194" s="57">
        <f>I182+D212</f>
        <v>25.839910260965855</v>
      </c>
    </row>
    <row r="195" spans="1:9" ht="45" x14ac:dyDescent="0.25">
      <c r="A195" s="23"/>
      <c r="B195" s="23" t="s">
        <v>728</v>
      </c>
      <c r="C195" s="23" t="s">
        <v>618</v>
      </c>
      <c r="D195" s="62">
        <v>30</v>
      </c>
      <c r="F195" s="160" t="s">
        <v>393</v>
      </c>
      <c r="G195" s="156" t="s">
        <v>482</v>
      </c>
      <c r="H195" s="156" t="s">
        <v>744</v>
      </c>
      <c r="I195" s="52">
        <f>I183+D198+D213</f>
        <v>818.98282278877696</v>
      </c>
    </row>
    <row r="196" spans="1:9" ht="30" x14ac:dyDescent="0.25">
      <c r="A196" s="249"/>
      <c r="B196" s="23" t="s">
        <v>471</v>
      </c>
      <c r="C196" s="23" t="s">
        <v>472</v>
      </c>
      <c r="D196" s="50">
        <v>20</v>
      </c>
      <c r="F196" s="23"/>
      <c r="G196" s="23"/>
      <c r="H196" s="23"/>
    </row>
    <row r="197" spans="1:9" ht="30" x14ac:dyDescent="0.25">
      <c r="A197" s="249"/>
      <c r="B197" s="23" t="s">
        <v>606</v>
      </c>
      <c r="C197" s="23" t="s">
        <v>533</v>
      </c>
      <c r="D197" s="62">
        <v>0</v>
      </c>
      <c r="F197" s="315" t="s">
        <v>847</v>
      </c>
      <c r="G197" s="316"/>
      <c r="H197" s="316"/>
      <c r="I197" s="317"/>
    </row>
    <row r="198" spans="1:9" ht="30" x14ac:dyDescent="0.25">
      <c r="A198" s="249"/>
      <c r="B198" s="23" t="s">
        <v>468</v>
      </c>
      <c r="C198" s="23" t="s">
        <v>469</v>
      </c>
      <c r="D198" s="50">
        <v>20</v>
      </c>
      <c r="F198" s="282" t="s">
        <v>35</v>
      </c>
      <c r="G198" s="260" t="s">
        <v>36</v>
      </c>
      <c r="H198" s="260" t="s">
        <v>738</v>
      </c>
      <c r="I198" s="179" t="s">
        <v>58</v>
      </c>
    </row>
    <row r="199" spans="1:9" ht="30" x14ac:dyDescent="0.25">
      <c r="A199" s="249" t="s">
        <v>408</v>
      </c>
      <c r="B199" s="34" t="s">
        <v>372</v>
      </c>
      <c r="C199" s="34" t="s">
        <v>824</v>
      </c>
      <c r="D199" s="64">
        <f>SUM(D194:D198)</f>
        <v>165</v>
      </c>
      <c r="F199" s="251" t="s">
        <v>402</v>
      </c>
      <c r="G199" s="252" t="s">
        <v>729</v>
      </c>
      <c r="H199" s="283" t="s">
        <v>745</v>
      </c>
      <c r="I199" s="91">
        <f>D193+D206</f>
        <v>237</v>
      </c>
    </row>
    <row r="200" spans="1:9" x14ac:dyDescent="0.25">
      <c r="A200" s="23"/>
      <c r="B200" s="23"/>
      <c r="C200" s="23" t="s">
        <v>374</v>
      </c>
      <c r="D200" s="69">
        <f>D193-D199</f>
        <v>0</v>
      </c>
      <c r="F200" s="159" t="s">
        <v>403</v>
      </c>
      <c r="G200" s="23" t="s">
        <v>730</v>
      </c>
      <c r="H200" s="23" t="s">
        <v>739</v>
      </c>
      <c r="I200" s="56">
        <f>D194+I186+D208</f>
        <v>127.4</v>
      </c>
    </row>
    <row r="201" spans="1:9" ht="30" x14ac:dyDescent="0.25">
      <c r="A201" s="158"/>
      <c r="B201" s="128"/>
      <c r="C201" s="93" t="s">
        <v>378</v>
      </c>
      <c r="D201" s="70"/>
      <c r="F201" s="159" t="s">
        <v>406</v>
      </c>
      <c r="G201" s="23" t="s">
        <v>731</v>
      </c>
      <c r="H201" s="23" t="s">
        <v>740</v>
      </c>
      <c r="I201" s="56">
        <f>D195+I187+D209</f>
        <v>51.6</v>
      </c>
    </row>
    <row r="202" spans="1:9" x14ac:dyDescent="0.25">
      <c r="A202" s="159"/>
      <c r="B202" s="23" t="s">
        <v>382</v>
      </c>
      <c r="C202" s="23" t="s">
        <v>383</v>
      </c>
      <c r="D202" s="62">
        <v>10</v>
      </c>
      <c r="F202" s="159" t="s">
        <v>407</v>
      </c>
      <c r="G202" s="23" t="s">
        <v>732</v>
      </c>
      <c r="H202" s="23" t="s">
        <v>741</v>
      </c>
      <c r="I202" s="56">
        <f>D196+D210</f>
        <v>31</v>
      </c>
    </row>
    <row r="203" spans="1:9" x14ac:dyDescent="0.25">
      <c r="A203" s="159"/>
      <c r="B203" s="23" t="s">
        <v>387</v>
      </c>
      <c r="C203" s="23" t="s">
        <v>388</v>
      </c>
      <c r="D203" s="62">
        <v>60</v>
      </c>
      <c r="F203" s="159" t="s">
        <v>409</v>
      </c>
      <c r="G203" s="23" t="s">
        <v>733</v>
      </c>
      <c r="H203" s="23" t="s">
        <v>742</v>
      </c>
      <c r="I203" s="56">
        <f>D197+D211</f>
        <v>1</v>
      </c>
    </row>
    <row r="204" spans="1:9" x14ac:dyDescent="0.25">
      <c r="A204" s="159"/>
      <c r="B204" s="23" t="s">
        <v>391</v>
      </c>
      <c r="C204" s="23" t="s">
        <v>392</v>
      </c>
      <c r="D204" s="62">
        <v>1</v>
      </c>
      <c r="F204" s="159" t="s">
        <v>483</v>
      </c>
      <c r="G204" s="84" t="s">
        <v>735</v>
      </c>
      <c r="H204" s="84" t="s">
        <v>746</v>
      </c>
      <c r="I204" s="64">
        <f>D212</f>
        <v>1</v>
      </c>
    </row>
    <row r="205" spans="1:9" x14ac:dyDescent="0.25">
      <c r="A205" s="159"/>
      <c r="B205" s="23" t="s">
        <v>396</v>
      </c>
      <c r="C205" s="23" t="s">
        <v>397</v>
      </c>
      <c r="D205" s="62">
        <v>1</v>
      </c>
      <c r="F205" s="160" t="s">
        <v>484</v>
      </c>
      <c r="G205" s="156" t="s">
        <v>737</v>
      </c>
      <c r="H205" s="156" t="s">
        <v>747</v>
      </c>
      <c r="I205" s="65">
        <f>D198+D213</f>
        <v>25</v>
      </c>
    </row>
    <row r="206" spans="1:9" ht="30" x14ac:dyDescent="0.25">
      <c r="A206" s="249" t="s">
        <v>321</v>
      </c>
      <c r="B206" s="34" t="s">
        <v>399</v>
      </c>
      <c r="C206" s="34" t="s">
        <v>825</v>
      </c>
      <c r="D206" s="64">
        <f>SUM(D202:D205)</f>
        <v>72</v>
      </c>
      <c r="F206" s="23"/>
      <c r="G206" s="23"/>
      <c r="H206" s="23"/>
    </row>
    <row r="207" spans="1:9" ht="30" x14ac:dyDescent="0.25">
      <c r="A207" s="159"/>
      <c r="B207" s="23" t="s">
        <v>400</v>
      </c>
      <c r="C207" s="23" t="s">
        <v>401</v>
      </c>
      <c r="D207" s="50">
        <v>54</v>
      </c>
      <c r="F207" s="312" t="s">
        <v>846</v>
      </c>
      <c r="G207" s="313"/>
      <c r="H207" s="313"/>
      <c r="I207" s="314"/>
    </row>
    <row r="208" spans="1:9" ht="45" x14ac:dyDescent="0.25">
      <c r="A208" s="23"/>
      <c r="B208" s="23" t="s">
        <v>725</v>
      </c>
      <c r="C208" s="23" t="s">
        <v>474</v>
      </c>
      <c r="D208" s="50">
        <v>0</v>
      </c>
      <c r="F208" s="279" t="s">
        <v>35</v>
      </c>
      <c r="G208" s="280" t="s">
        <v>36</v>
      </c>
      <c r="H208" s="280" t="s">
        <v>11</v>
      </c>
      <c r="I208" s="41" t="s">
        <v>58</v>
      </c>
    </row>
    <row r="209" spans="1:16" ht="45" x14ac:dyDescent="0.25">
      <c r="A209" s="23"/>
      <c r="B209" s="23" t="s">
        <v>726</v>
      </c>
      <c r="C209" s="23" t="s">
        <v>559</v>
      </c>
      <c r="D209" s="50">
        <v>0</v>
      </c>
      <c r="F209" s="159" t="s">
        <v>514</v>
      </c>
      <c r="G209" s="84" t="s">
        <v>376</v>
      </c>
      <c r="H209" s="84" t="s">
        <v>377</v>
      </c>
      <c r="I209" s="83">
        <f>D169/D172</f>
        <v>0.99334442595673877</v>
      </c>
    </row>
    <row r="210" spans="1:16" ht="45" x14ac:dyDescent="0.25">
      <c r="A210" s="23"/>
      <c r="B210" s="23" t="s">
        <v>404</v>
      </c>
      <c r="C210" s="23" t="s">
        <v>405</v>
      </c>
      <c r="D210" s="50">
        <v>11</v>
      </c>
      <c r="F210" s="159" t="s">
        <v>515</v>
      </c>
      <c r="G210" s="84" t="s">
        <v>380</v>
      </c>
      <c r="H210" s="84" t="s">
        <v>381</v>
      </c>
      <c r="I210" s="56">
        <f>D180-I209*D175</f>
        <v>70</v>
      </c>
    </row>
    <row r="211" spans="1:16" ht="45" x14ac:dyDescent="0.25">
      <c r="A211" s="159"/>
      <c r="B211" s="23" t="s">
        <v>607</v>
      </c>
      <c r="C211" s="23" t="s">
        <v>405</v>
      </c>
      <c r="D211" s="62">
        <v>1</v>
      </c>
      <c r="F211" s="159" t="s">
        <v>734</v>
      </c>
      <c r="G211" s="84" t="s">
        <v>385</v>
      </c>
      <c r="H211" s="84" t="s">
        <v>386</v>
      </c>
      <c r="I211" s="64">
        <f>I210-D182-D183-D185</f>
        <v>-171.1764705882353</v>
      </c>
    </row>
    <row r="212" spans="1:16" ht="30" x14ac:dyDescent="0.25">
      <c r="A212" s="249"/>
      <c r="B212" s="23" t="s">
        <v>475</v>
      </c>
      <c r="C212" s="23" t="s">
        <v>476</v>
      </c>
      <c r="D212" s="62">
        <v>1</v>
      </c>
      <c r="F212" s="159" t="s">
        <v>736</v>
      </c>
      <c r="G212" s="84" t="s">
        <v>390</v>
      </c>
      <c r="H212" s="84" t="s">
        <v>827</v>
      </c>
      <c r="I212" s="64">
        <f>D193-I209*D188</f>
        <v>165</v>
      </c>
    </row>
    <row r="213" spans="1:16" ht="45" x14ac:dyDescent="0.25">
      <c r="A213" s="249"/>
      <c r="B213" s="23" t="s">
        <v>477</v>
      </c>
      <c r="C213" s="23" t="s">
        <v>478</v>
      </c>
      <c r="D213" s="62">
        <v>5</v>
      </c>
      <c r="F213" s="160" t="s">
        <v>748</v>
      </c>
      <c r="G213" s="156" t="s">
        <v>394</v>
      </c>
      <c r="H213" s="156" t="s">
        <v>395</v>
      </c>
      <c r="I213" s="65">
        <f>I211+I212+D214-I172</f>
        <v>58.823529411764696</v>
      </c>
    </row>
    <row r="214" spans="1:16" x14ac:dyDescent="0.25">
      <c r="A214" s="249" t="s">
        <v>329</v>
      </c>
      <c r="B214" s="34" t="s">
        <v>399</v>
      </c>
      <c r="C214" s="34" t="s">
        <v>826</v>
      </c>
      <c r="D214" s="64">
        <f>SUM(D207:D213)</f>
        <v>72</v>
      </c>
    </row>
    <row r="215" spans="1:16" x14ac:dyDescent="0.25">
      <c r="A215" s="160"/>
      <c r="B215" s="157"/>
      <c r="C215" s="32" t="s">
        <v>374</v>
      </c>
      <c r="D215" s="69">
        <f>D206-D214</f>
        <v>0</v>
      </c>
    </row>
    <row r="217" spans="1:16" x14ac:dyDescent="0.25">
      <c r="A217" s="6"/>
      <c r="B217" s="6"/>
      <c r="C217" s="6"/>
      <c r="D217" s="6"/>
      <c r="E217" s="6"/>
      <c r="F217" s="6"/>
      <c r="G217" s="6"/>
      <c r="H217" s="6"/>
      <c r="I217" s="6"/>
      <c r="J217" s="6"/>
      <c r="K217" s="6"/>
      <c r="L217" s="6"/>
      <c r="M217" s="6"/>
      <c r="N217" s="6"/>
      <c r="O217" s="6"/>
      <c r="P217" s="6"/>
    </row>
    <row r="218" spans="1:16" ht="21.75" thickBot="1" x14ac:dyDescent="0.4">
      <c r="A218" s="61" t="s">
        <v>410</v>
      </c>
      <c r="C218" s="3"/>
      <c r="D218" s="3"/>
    </row>
    <row r="219" spans="1:16" ht="21" x14ac:dyDescent="0.35">
      <c r="A219" s="40" t="s">
        <v>35</v>
      </c>
      <c r="B219" s="28" t="s">
        <v>36</v>
      </c>
      <c r="C219" s="28" t="s">
        <v>11</v>
      </c>
      <c r="D219" s="41" t="s">
        <v>58</v>
      </c>
      <c r="F219" s="40" t="s">
        <v>35</v>
      </c>
      <c r="G219" s="28" t="s">
        <v>36</v>
      </c>
      <c r="H219" s="28" t="s">
        <v>11</v>
      </c>
      <c r="I219" s="41" t="s">
        <v>58</v>
      </c>
      <c r="K219" s="222" t="s">
        <v>156</v>
      </c>
      <c r="L219" s="220"/>
      <c r="M219" s="220"/>
      <c r="N219" s="220"/>
      <c r="O219" s="220"/>
      <c r="P219" s="221"/>
    </row>
    <row r="220" spans="1:16" ht="15.75" customHeight="1" x14ac:dyDescent="0.25">
      <c r="A220" s="344" t="s">
        <v>411</v>
      </c>
      <c r="B220" s="307"/>
      <c r="C220" s="307"/>
      <c r="D220" s="340"/>
      <c r="F220" s="251" t="s">
        <v>425</v>
      </c>
      <c r="G220" s="283" t="s">
        <v>416</v>
      </c>
      <c r="H220" s="283" t="s">
        <v>417</v>
      </c>
      <c r="I220" s="91">
        <f>D229+D233+D244</f>
        <v>172.27204946353882</v>
      </c>
      <c r="K220" s="300" t="s">
        <v>843</v>
      </c>
      <c r="L220" s="301"/>
      <c r="M220" s="301"/>
      <c r="N220" s="301"/>
      <c r="O220" s="301"/>
      <c r="P220" s="302"/>
    </row>
    <row r="221" spans="1:16" ht="15.75" customHeight="1" x14ac:dyDescent="0.25">
      <c r="A221" s="71"/>
      <c r="B221" s="2" t="s">
        <v>342</v>
      </c>
      <c r="C221" s="2" t="s">
        <v>343</v>
      </c>
      <c r="D221" s="72">
        <f>D178</f>
        <v>30</v>
      </c>
      <c r="F221" s="23"/>
      <c r="G221" s="23"/>
      <c r="H221" s="23"/>
      <c r="K221" s="303" t="s">
        <v>844</v>
      </c>
      <c r="L221" s="304"/>
      <c r="M221" s="304"/>
      <c r="N221" s="304"/>
      <c r="O221" s="304"/>
      <c r="P221" s="305"/>
    </row>
    <row r="222" spans="1:16" x14ac:dyDescent="0.25">
      <c r="A222" s="71"/>
      <c r="B222" s="2" t="s">
        <v>344</v>
      </c>
      <c r="C222" s="2" t="s">
        <v>369</v>
      </c>
      <c r="D222" s="72">
        <f>D179</f>
        <v>20</v>
      </c>
      <c r="F222" s="279" t="s">
        <v>35</v>
      </c>
      <c r="G222" s="280" t="s">
        <v>36</v>
      </c>
      <c r="H222" s="280" t="s">
        <v>11</v>
      </c>
      <c r="I222" s="41" t="s">
        <v>58</v>
      </c>
      <c r="K222" s="262"/>
      <c r="L222" s="284"/>
      <c r="M222" s="178" t="s">
        <v>811</v>
      </c>
      <c r="N222" s="234" t="s">
        <v>811</v>
      </c>
      <c r="O222" s="178" t="s">
        <v>812</v>
      </c>
      <c r="P222" s="235" t="s">
        <v>812</v>
      </c>
    </row>
    <row r="223" spans="1:16" ht="30" x14ac:dyDescent="0.25">
      <c r="A223" s="26" t="s">
        <v>412</v>
      </c>
      <c r="B223" s="30" t="s">
        <v>413</v>
      </c>
      <c r="C223" s="34" t="s">
        <v>414</v>
      </c>
      <c r="D223" s="66">
        <f>D221+D222</f>
        <v>50</v>
      </c>
      <c r="F223" s="158" t="s">
        <v>428</v>
      </c>
      <c r="G223" s="288" t="s">
        <v>423</v>
      </c>
      <c r="H223" s="128" t="s">
        <v>424</v>
      </c>
      <c r="I223" s="45">
        <f>D229*I143/(D130-(D120-D124))</f>
        <v>15.833754487347184</v>
      </c>
      <c r="K223" s="285" t="s">
        <v>791</v>
      </c>
      <c r="L223" s="189" t="s">
        <v>622</v>
      </c>
      <c r="M223" s="236" t="s">
        <v>35</v>
      </c>
      <c r="N223" s="189" t="s">
        <v>12</v>
      </c>
      <c r="O223" s="236" t="s">
        <v>35</v>
      </c>
      <c r="P223" s="264" t="s">
        <v>12</v>
      </c>
    </row>
    <row r="224" spans="1:16" ht="105" x14ac:dyDescent="0.25">
      <c r="A224" s="249"/>
      <c r="B224" s="23" t="s">
        <v>770</v>
      </c>
      <c r="C224" s="23" t="s">
        <v>862</v>
      </c>
      <c r="D224" s="73">
        <v>0.9</v>
      </c>
      <c r="F224" s="159" t="s">
        <v>429</v>
      </c>
      <c r="G224" s="23" t="s">
        <v>608</v>
      </c>
      <c r="H224" s="23" t="s">
        <v>560</v>
      </c>
      <c r="I224" s="43">
        <f>D229*(I144-D120)/(D130-(D120-D124))</f>
        <v>5.8431737138734263</v>
      </c>
      <c r="K224" s="265" t="s">
        <v>674</v>
      </c>
      <c r="L224" s="215" t="s">
        <v>639</v>
      </c>
      <c r="M224" s="178" t="s">
        <v>785</v>
      </c>
      <c r="N224" s="242">
        <f>I220*1000/D72</f>
        <v>0.49220585561011093</v>
      </c>
      <c r="O224" s="178" t="s">
        <v>810</v>
      </c>
      <c r="P224" s="243">
        <f>1000*I244/D72</f>
        <v>0.36</v>
      </c>
    </row>
    <row r="225" spans="1:16" ht="45" x14ac:dyDescent="0.25">
      <c r="A225" s="249" t="s">
        <v>418</v>
      </c>
      <c r="B225" s="34" t="s">
        <v>854</v>
      </c>
      <c r="C225" s="34" t="s">
        <v>863</v>
      </c>
      <c r="D225" s="83">
        <f>IFERROR(D223/D180*D123/D224,"0")</f>
        <v>0.90925622840516462</v>
      </c>
      <c r="F225" s="159" t="s">
        <v>433</v>
      </c>
      <c r="G225" s="23" t="s">
        <v>426</v>
      </c>
      <c r="H225" s="23" t="s">
        <v>427</v>
      </c>
      <c r="I225" s="43">
        <f>D229*I145/(D130-(D120-D124))</f>
        <v>10.675844716653161</v>
      </c>
      <c r="K225" s="265" t="s">
        <v>675</v>
      </c>
      <c r="L225" s="215" t="s">
        <v>255</v>
      </c>
      <c r="M225" s="178" t="s">
        <v>792</v>
      </c>
      <c r="N225" s="242">
        <f>I235*1000/D63</f>
        <v>0.36689169658231452</v>
      </c>
      <c r="O225" s="178" t="s">
        <v>802</v>
      </c>
      <c r="P225" s="243">
        <f>1000*I245/D63</f>
        <v>0.26133333333333331</v>
      </c>
    </row>
    <row r="226" spans="1:16" ht="45" x14ac:dyDescent="0.25">
      <c r="A226" s="277" t="s">
        <v>419</v>
      </c>
      <c r="B226" s="32" t="s">
        <v>771</v>
      </c>
      <c r="C226" s="32" t="s">
        <v>864</v>
      </c>
      <c r="D226" s="289">
        <f>IFERROR(D223/D180*(D125/D224),"0")</f>
        <v>9.092562284051646E-2</v>
      </c>
      <c r="F226" s="159" t="s">
        <v>438</v>
      </c>
      <c r="G226" s="23" t="s">
        <v>609</v>
      </c>
      <c r="H226" s="23" t="s">
        <v>561</v>
      </c>
      <c r="I226" s="201">
        <f>D229*I146/(D130-(D120-D124))</f>
        <v>0.24435330041560333</v>
      </c>
      <c r="K226" s="265" t="s">
        <v>797</v>
      </c>
      <c r="L226" s="215" t="s">
        <v>255</v>
      </c>
      <c r="M226" s="178" t="s">
        <v>793</v>
      </c>
      <c r="N226" s="242" t="str">
        <f>IFERROR(1000*I237/D66,"-")</f>
        <v>-</v>
      </c>
      <c r="O226" s="178" t="s">
        <v>803</v>
      </c>
      <c r="P226" s="243" t="str">
        <f>IFERROR(1000*I247/D66,"-")</f>
        <v>-</v>
      </c>
    </row>
    <row r="227" spans="1:16" ht="60" x14ac:dyDescent="0.25">
      <c r="A227" s="23"/>
      <c r="B227" s="23" t="s">
        <v>772</v>
      </c>
      <c r="C227" s="23" t="s">
        <v>773</v>
      </c>
      <c r="D227" s="73">
        <v>0.9</v>
      </c>
      <c r="F227" s="159" t="s">
        <v>441</v>
      </c>
      <c r="G227" s="84" t="s">
        <v>643</v>
      </c>
      <c r="H227" s="84" t="s">
        <v>496</v>
      </c>
      <c r="I227" s="126">
        <f>D229*I147/(D130-(D120-D124))</f>
        <v>0.40848103807901587</v>
      </c>
      <c r="K227" s="265" t="s">
        <v>712</v>
      </c>
      <c r="L227" s="215" t="s">
        <v>255</v>
      </c>
      <c r="M227" s="178" t="s">
        <v>794</v>
      </c>
      <c r="N227" s="242" t="str">
        <f>IFERROR(1000*(I235/D63+I237/D66),"-")</f>
        <v>-</v>
      </c>
      <c r="O227" s="178" t="s">
        <v>804</v>
      </c>
      <c r="P227" s="243" t="str">
        <f>IFERROR(1000*(I245/D63+I247/D66),"-")</f>
        <v>-</v>
      </c>
    </row>
    <row r="228" spans="1:16" ht="30" x14ac:dyDescent="0.25">
      <c r="A228" s="277" t="s">
        <v>430</v>
      </c>
      <c r="B228" s="32" t="s">
        <v>837</v>
      </c>
      <c r="C228" s="32" t="s">
        <v>774</v>
      </c>
      <c r="D228" s="290">
        <f>IFERROR((D223/D180)*(D127/D227),0)</f>
        <v>2.7277686852154939</v>
      </c>
      <c r="F228" s="160" t="s">
        <v>446</v>
      </c>
      <c r="G228" s="156" t="s">
        <v>644</v>
      </c>
      <c r="H228" s="156" t="s">
        <v>497</v>
      </c>
      <c r="I228" s="127">
        <f>D229*I148/(D130-(D120-D124))</f>
        <v>13.056686769892382</v>
      </c>
      <c r="K228" s="265" t="s">
        <v>678</v>
      </c>
      <c r="L228" s="215" t="s">
        <v>255</v>
      </c>
      <c r="M228" s="178" t="s">
        <v>795</v>
      </c>
      <c r="N228" s="242">
        <f>I236*1000/D64</f>
        <v>0.10821586856936714</v>
      </c>
      <c r="O228" s="178" t="s">
        <v>805</v>
      </c>
      <c r="P228" s="243">
        <f>1000*I246/D64</f>
        <v>7.9000000000000001E-2</v>
      </c>
    </row>
    <row r="229" spans="1:16" ht="30" x14ac:dyDescent="0.25">
      <c r="A229" s="249" t="s">
        <v>436</v>
      </c>
      <c r="B229" s="34" t="s">
        <v>420</v>
      </c>
      <c r="C229" s="32" t="s">
        <v>421</v>
      </c>
      <c r="D229" s="65">
        <f>D223-D225-D226-D228</f>
        <v>46.272049463538828</v>
      </c>
      <c r="E229" s="13"/>
      <c r="F229" s="23"/>
      <c r="G229" s="23"/>
      <c r="H229" s="23"/>
      <c r="K229" s="265" t="s">
        <v>798</v>
      </c>
      <c r="L229" s="215" t="s">
        <v>255</v>
      </c>
      <c r="M229" s="178" t="s">
        <v>796</v>
      </c>
      <c r="N229" s="242" t="str">
        <f>IFERROR(1000*I238/D67,"-")</f>
        <v>-</v>
      </c>
      <c r="O229" s="178" t="s">
        <v>806</v>
      </c>
      <c r="P229" s="243" t="str">
        <f>IFERROR(1000*I248/D67,"-")</f>
        <v>-</v>
      </c>
    </row>
    <row r="230" spans="1:16" ht="30" x14ac:dyDescent="0.25">
      <c r="A230" s="341" t="s">
        <v>505</v>
      </c>
      <c r="B230" s="342"/>
      <c r="C230" s="342"/>
      <c r="D230" s="343"/>
      <c r="E230" s="13"/>
      <c r="F230" s="279" t="s">
        <v>35</v>
      </c>
      <c r="G230" s="280" t="s">
        <v>36</v>
      </c>
      <c r="H230" s="280" t="s">
        <v>11</v>
      </c>
      <c r="I230" s="41" t="s">
        <v>58</v>
      </c>
      <c r="K230" s="265" t="s">
        <v>682</v>
      </c>
      <c r="L230" s="215" t="s">
        <v>255</v>
      </c>
      <c r="M230" s="178" t="s">
        <v>799</v>
      </c>
      <c r="N230" s="242" t="str">
        <f>IFERROR(1000*(I236/D64+I238/D67),"-")</f>
        <v>-</v>
      </c>
      <c r="O230" s="178" t="s">
        <v>807</v>
      </c>
      <c r="P230" s="243" t="str">
        <f>IFERROR(1000*(I246/D64+I248/D67),"-")</f>
        <v>-</v>
      </c>
    </row>
    <row r="231" spans="1:16" ht="45" x14ac:dyDescent="0.25">
      <c r="A231" s="249"/>
      <c r="B231" s="23" t="s">
        <v>366</v>
      </c>
      <c r="C231" s="23" t="s">
        <v>343</v>
      </c>
      <c r="D231" s="72">
        <f>D191</f>
        <v>10</v>
      </c>
      <c r="E231" s="13"/>
      <c r="F231" s="159" t="s">
        <v>448</v>
      </c>
      <c r="G231" s="23" t="s">
        <v>434</v>
      </c>
      <c r="H231" s="23" t="s">
        <v>435</v>
      </c>
      <c r="I231" s="56">
        <f>D245*D59/D61</f>
        <v>13.2</v>
      </c>
      <c r="K231" s="265" t="s">
        <v>683</v>
      </c>
      <c r="L231" s="215" t="s">
        <v>640</v>
      </c>
      <c r="M231" s="178" t="s">
        <v>800</v>
      </c>
      <c r="N231" s="242">
        <f>1000*I240/D70</f>
        <v>0.11730481934254966</v>
      </c>
      <c r="O231" s="178" t="s">
        <v>808</v>
      </c>
      <c r="P231" s="243">
        <f>1000*I250/D70</f>
        <v>0.08</v>
      </c>
    </row>
    <row r="232" spans="1:16" ht="45.75" thickBot="1" x14ac:dyDescent="0.3">
      <c r="A232" s="249"/>
      <c r="B232" s="23" t="s">
        <v>368</v>
      </c>
      <c r="C232" s="23" t="s">
        <v>369</v>
      </c>
      <c r="D232" s="72">
        <f>D192</f>
        <v>55</v>
      </c>
      <c r="E232" s="13"/>
      <c r="F232" s="160" t="s">
        <v>451</v>
      </c>
      <c r="G232" s="157" t="s">
        <v>610</v>
      </c>
      <c r="H232" s="157" t="s">
        <v>534</v>
      </c>
      <c r="I232" s="53">
        <f>D245*D60/D61</f>
        <v>8.8000000000000007</v>
      </c>
      <c r="K232" s="286" t="s">
        <v>684</v>
      </c>
      <c r="L232" s="224" t="s">
        <v>640</v>
      </c>
      <c r="M232" s="247" t="s">
        <v>801</v>
      </c>
      <c r="N232" s="349" t="str">
        <f>IFERROR(1000*(I239/D68+I240/D70),"-")</f>
        <v>-</v>
      </c>
      <c r="O232" s="247" t="s">
        <v>809</v>
      </c>
      <c r="P232" s="287" t="str">
        <f>IFERROR(1000*(I249/D68+I250/D70),"-")</f>
        <v>-</v>
      </c>
    </row>
    <row r="233" spans="1:16" ht="15.75" x14ac:dyDescent="0.25">
      <c r="A233" s="249" t="s">
        <v>456</v>
      </c>
      <c r="B233" s="34" t="s">
        <v>431</v>
      </c>
      <c r="C233" s="34" t="s">
        <v>432</v>
      </c>
      <c r="D233" s="56">
        <f>D231+D232</f>
        <v>65</v>
      </c>
      <c r="E233" s="13"/>
      <c r="F233" s="23"/>
      <c r="G233" s="23"/>
      <c r="H233" s="23"/>
    </row>
    <row r="234" spans="1:16" ht="30" x14ac:dyDescent="0.25">
      <c r="A234" s="23"/>
      <c r="B234" s="23" t="s">
        <v>787</v>
      </c>
      <c r="C234" s="23" t="s">
        <v>489</v>
      </c>
      <c r="D234" s="50">
        <v>25</v>
      </c>
      <c r="E234" s="13"/>
      <c r="F234" s="279" t="s">
        <v>35</v>
      </c>
      <c r="G234" s="280" t="s">
        <v>36</v>
      </c>
      <c r="H234" s="280" t="s">
        <v>11</v>
      </c>
      <c r="I234" s="41" t="s">
        <v>58</v>
      </c>
    </row>
    <row r="235" spans="1:16" ht="45" x14ac:dyDescent="0.25">
      <c r="A235" s="23"/>
      <c r="B235" s="23" t="s">
        <v>788</v>
      </c>
      <c r="C235" s="23" t="s">
        <v>646</v>
      </c>
      <c r="D235" s="50">
        <v>5</v>
      </c>
      <c r="E235" s="13"/>
      <c r="F235" s="159" t="s">
        <v>454</v>
      </c>
      <c r="G235" s="23" t="s">
        <v>442</v>
      </c>
      <c r="H235" s="23" t="s">
        <v>443</v>
      </c>
      <c r="I235" s="46">
        <f>I223+D234+I231+D246</f>
        <v>55.033754487347181</v>
      </c>
    </row>
    <row r="236" spans="1:16" ht="30" x14ac:dyDescent="0.25">
      <c r="A236" s="249"/>
      <c r="B236" s="23" t="s">
        <v>487</v>
      </c>
      <c r="C236" s="23" t="s">
        <v>490</v>
      </c>
      <c r="D236" s="50">
        <v>15</v>
      </c>
      <c r="E236" s="13"/>
      <c r="F236" s="159" t="s">
        <v>455</v>
      </c>
      <c r="G236" s="23" t="s">
        <v>612</v>
      </c>
      <c r="H236" s="23" t="s">
        <v>562</v>
      </c>
      <c r="I236" s="46">
        <f>I224+D235+I232+D247</f>
        <v>21.643173713873427</v>
      </c>
    </row>
    <row r="237" spans="1:16" ht="30" x14ac:dyDescent="0.25">
      <c r="A237" s="249"/>
      <c r="B237" s="23" t="s">
        <v>611</v>
      </c>
      <c r="C237" s="23" t="s">
        <v>535</v>
      </c>
      <c r="D237" s="50">
        <v>0</v>
      </c>
      <c r="E237" s="13"/>
      <c r="F237" s="159" t="s">
        <v>461</v>
      </c>
      <c r="G237" s="23" t="s">
        <v>449</v>
      </c>
      <c r="H237" s="23" t="s">
        <v>450</v>
      </c>
      <c r="I237" s="46">
        <f>I225+D236+D248</f>
        <v>53.67584471665316</v>
      </c>
    </row>
    <row r="238" spans="1:16" ht="30" x14ac:dyDescent="0.25">
      <c r="A238" s="249"/>
      <c r="B238" s="23" t="s">
        <v>488</v>
      </c>
      <c r="C238" s="23" t="s">
        <v>491</v>
      </c>
      <c r="D238" s="50">
        <v>20</v>
      </c>
      <c r="E238" s="13"/>
      <c r="F238" s="159" t="s">
        <v>462</v>
      </c>
      <c r="G238" s="23" t="s">
        <v>613</v>
      </c>
      <c r="H238" s="23" t="s">
        <v>569</v>
      </c>
      <c r="I238" s="203">
        <f>I226+D237+D249</f>
        <v>0.24435330041560333</v>
      </c>
    </row>
    <row r="239" spans="1:16" ht="15.75" x14ac:dyDescent="0.25">
      <c r="A239" s="249" t="s">
        <v>459</v>
      </c>
      <c r="B239" s="34" t="s">
        <v>431</v>
      </c>
      <c r="C239" s="34" t="s">
        <v>437</v>
      </c>
      <c r="D239" s="56">
        <f>SUM(D234:D238)</f>
        <v>65</v>
      </c>
      <c r="E239" s="13"/>
      <c r="F239" s="159" t="s">
        <v>463</v>
      </c>
      <c r="G239" s="84" t="s">
        <v>498</v>
      </c>
      <c r="H239" s="84" t="s">
        <v>500</v>
      </c>
      <c r="I239" s="99">
        <f>I227+D250</f>
        <v>0.40848103807901587</v>
      </c>
    </row>
    <row r="240" spans="1:16" ht="15.75" x14ac:dyDescent="0.25">
      <c r="A240" s="277"/>
      <c r="B240" s="157"/>
      <c r="C240" s="32" t="s">
        <v>201</v>
      </c>
      <c r="D240" s="69">
        <f>D233-D239</f>
        <v>0</v>
      </c>
      <c r="E240" s="13"/>
      <c r="F240" s="160" t="s">
        <v>464</v>
      </c>
      <c r="G240" s="156" t="s">
        <v>499</v>
      </c>
      <c r="H240" s="156" t="s">
        <v>501</v>
      </c>
      <c r="I240" s="52">
        <f>I228+D238+D251</f>
        <v>41.05668676989238</v>
      </c>
    </row>
    <row r="241" spans="1:16" ht="15.75" x14ac:dyDescent="0.25">
      <c r="A241" s="339" t="s">
        <v>439</v>
      </c>
      <c r="B241" s="307"/>
      <c r="C241" s="307"/>
      <c r="D241" s="340"/>
      <c r="E241" s="13"/>
      <c r="F241" s="23"/>
      <c r="G241" s="23"/>
      <c r="H241" s="23"/>
    </row>
    <row r="242" spans="1:16" ht="15.75" customHeight="1" x14ac:dyDescent="0.25">
      <c r="A242" s="178"/>
      <c r="B242" s="23" t="s">
        <v>387</v>
      </c>
      <c r="C242" s="23" t="s">
        <v>388</v>
      </c>
      <c r="D242" s="72">
        <f>D203</f>
        <v>60</v>
      </c>
      <c r="E242" s="13"/>
      <c r="F242" s="315" t="s">
        <v>845</v>
      </c>
      <c r="G242" s="316"/>
      <c r="H242" s="316"/>
      <c r="I242" s="317"/>
    </row>
    <row r="243" spans="1:16" ht="15.75" x14ac:dyDescent="0.25">
      <c r="A243" s="178"/>
      <c r="B243" s="23" t="s">
        <v>396</v>
      </c>
      <c r="C243" s="23" t="s">
        <v>440</v>
      </c>
      <c r="D243" s="72">
        <f>D205</f>
        <v>1</v>
      </c>
      <c r="E243" s="13"/>
      <c r="F243" s="279" t="s">
        <v>35</v>
      </c>
      <c r="G243" s="280" t="s">
        <v>36</v>
      </c>
      <c r="H243" s="280" t="s">
        <v>11</v>
      </c>
      <c r="I243" s="41" t="s">
        <v>58</v>
      </c>
    </row>
    <row r="244" spans="1:16" ht="15.75" x14ac:dyDescent="0.25">
      <c r="A244" s="249" t="s">
        <v>415</v>
      </c>
      <c r="B244" s="34" t="s">
        <v>457</v>
      </c>
      <c r="C244" s="34" t="s">
        <v>458</v>
      </c>
      <c r="D244" s="56">
        <f>D242+D243</f>
        <v>61</v>
      </c>
      <c r="E244" s="13"/>
      <c r="F244" s="251" t="s">
        <v>502</v>
      </c>
      <c r="G244" s="283" t="s">
        <v>776</v>
      </c>
      <c r="H244" s="283" t="s">
        <v>417</v>
      </c>
      <c r="I244" s="91">
        <f>D233+D244</f>
        <v>126</v>
      </c>
    </row>
    <row r="245" spans="1:16" ht="30" x14ac:dyDescent="0.25">
      <c r="A245" s="23"/>
      <c r="B245" s="23" t="s">
        <v>444</v>
      </c>
      <c r="C245" s="23" t="s">
        <v>445</v>
      </c>
      <c r="D245" s="50">
        <v>22</v>
      </c>
      <c r="E245" s="13"/>
      <c r="F245" s="159" t="s">
        <v>503</v>
      </c>
      <c r="G245" s="23" t="s">
        <v>777</v>
      </c>
      <c r="H245" s="23" t="s">
        <v>443</v>
      </c>
      <c r="I245" s="203">
        <f>D234+I231+D246</f>
        <v>39.200000000000003</v>
      </c>
    </row>
    <row r="246" spans="1:16" ht="45" x14ac:dyDescent="0.25">
      <c r="A246" s="23"/>
      <c r="B246" s="23" t="s">
        <v>789</v>
      </c>
      <c r="C246" s="23" t="s">
        <v>447</v>
      </c>
      <c r="D246" s="50">
        <v>1</v>
      </c>
      <c r="E246" s="13"/>
      <c r="F246" s="159" t="s">
        <v>504</v>
      </c>
      <c r="G246" s="23" t="s">
        <v>778</v>
      </c>
      <c r="H246" s="23" t="s">
        <v>562</v>
      </c>
      <c r="I246" s="203">
        <f>D235+I232+D247</f>
        <v>15.8</v>
      </c>
    </row>
    <row r="247" spans="1:16" ht="45" x14ac:dyDescent="0.25">
      <c r="A247" s="23"/>
      <c r="B247" s="23" t="s">
        <v>790</v>
      </c>
      <c r="C247" s="23" t="s">
        <v>563</v>
      </c>
      <c r="D247" s="50">
        <v>2</v>
      </c>
      <c r="E247" s="13"/>
      <c r="F247" s="159" t="s">
        <v>775</v>
      </c>
      <c r="G247" s="23" t="s">
        <v>780</v>
      </c>
      <c r="H247" s="23" t="s">
        <v>450</v>
      </c>
      <c r="I247" s="203">
        <f>D236+D249</f>
        <v>15</v>
      </c>
    </row>
    <row r="248" spans="1:16" ht="45" x14ac:dyDescent="0.25">
      <c r="A248" s="23"/>
      <c r="B248" s="23" t="s">
        <v>452</v>
      </c>
      <c r="C248" s="23" t="s">
        <v>453</v>
      </c>
      <c r="D248" s="50">
        <v>28</v>
      </c>
      <c r="E248" s="13"/>
      <c r="F248" s="159" t="s">
        <v>779</v>
      </c>
      <c r="G248" s="23" t="s">
        <v>782</v>
      </c>
      <c r="H248" s="23" t="s">
        <v>569</v>
      </c>
      <c r="I248" s="203">
        <f>D237+D249</f>
        <v>0</v>
      </c>
    </row>
    <row r="249" spans="1:16" ht="45" x14ac:dyDescent="0.25">
      <c r="A249" s="23"/>
      <c r="B249" s="23" t="s">
        <v>614</v>
      </c>
      <c r="C249" s="23" t="s">
        <v>536</v>
      </c>
      <c r="D249" s="50">
        <v>0</v>
      </c>
      <c r="E249" s="13"/>
      <c r="F249" s="159" t="s">
        <v>781</v>
      </c>
      <c r="G249" s="84" t="s">
        <v>784</v>
      </c>
      <c r="H249" s="84" t="s">
        <v>500</v>
      </c>
      <c r="I249" s="64">
        <f>D250</f>
        <v>0</v>
      </c>
    </row>
    <row r="250" spans="1:16" ht="45" x14ac:dyDescent="0.25">
      <c r="A250" s="249"/>
      <c r="B250" s="23" t="s">
        <v>492</v>
      </c>
      <c r="C250" s="23" t="s">
        <v>493</v>
      </c>
      <c r="D250" s="50">
        <v>0</v>
      </c>
      <c r="E250" s="13"/>
      <c r="F250" s="160" t="s">
        <v>783</v>
      </c>
      <c r="G250" s="156" t="s">
        <v>786</v>
      </c>
      <c r="H250" s="156" t="s">
        <v>501</v>
      </c>
      <c r="I250" s="65">
        <f>D238+D251</f>
        <v>28</v>
      </c>
    </row>
    <row r="251" spans="1:16" ht="45" x14ac:dyDescent="0.25">
      <c r="A251" s="249"/>
      <c r="B251" s="23" t="s">
        <v>494</v>
      </c>
      <c r="C251" s="23" t="s">
        <v>495</v>
      </c>
      <c r="D251" s="50">
        <v>8</v>
      </c>
      <c r="E251" s="13"/>
    </row>
    <row r="252" spans="1:16" ht="15.75" x14ac:dyDescent="0.25">
      <c r="A252" s="249" t="s">
        <v>422</v>
      </c>
      <c r="B252" s="34" t="s">
        <v>457</v>
      </c>
      <c r="C252" s="34" t="s">
        <v>460</v>
      </c>
      <c r="D252" s="66">
        <f>SUM(D245:D251)</f>
        <v>61</v>
      </c>
      <c r="E252" s="13"/>
    </row>
    <row r="253" spans="1:16" ht="15.75" x14ac:dyDescent="0.25">
      <c r="A253" s="277"/>
      <c r="B253" s="157"/>
      <c r="C253" s="32" t="s">
        <v>374</v>
      </c>
      <c r="D253" s="69">
        <f>D252-D244</f>
        <v>0</v>
      </c>
      <c r="E253" s="13"/>
    </row>
    <row r="254" spans="1:16" ht="15.75" x14ac:dyDescent="0.25">
      <c r="A254" s="26"/>
      <c r="C254" s="34"/>
      <c r="D254" s="100"/>
      <c r="E254" s="13"/>
      <c r="J254" s="4"/>
    </row>
    <row r="255" spans="1:16" x14ac:dyDescent="0.25">
      <c r="A255" s="6"/>
      <c r="B255" s="6"/>
      <c r="C255" s="6"/>
      <c r="D255" s="6"/>
      <c r="E255" s="6"/>
      <c r="F255" s="6"/>
      <c r="G255" s="6"/>
      <c r="H255" s="6"/>
      <c r="I255" s="6"/>
      <c r="J255" s="6"/>
      <c r="K255" s="6"/>
      <c r="L255" s="6"/>
      <c r="M255" s="6"/>
      <c r="N255" s="6"/>
      <c r="O255" s="6"/>
      <c r="P255" s="6"/>
    </row>
    <row r="257" spans="1:10" x14ac:dyDescent="0.25">
      <c r="A257" s="92" t="s">
        <v>465</v>
      </c>
    </row>
    <row r="258" spans="1:10" x14ac:dyDescent="0.25">
      <c r="A258" s="330"/>
      <c r="B258" s="331"/>
      <c r="C258" s="331"/>
      <c r="D258" s="331"/>
      <c r="E258" s="331"/>
      <c r="F258" s="331"/>
      <c r="G258" s="331"/>
      <c r="H258" s="331"/>
      <c r="I258" s="332"/>
      <c r="J258" s="21"/>
    </row>
    <row r="259" spans="1:10" x14ac:dyDescent="0.25">
      <c r="A259" s="333"/>
      <c r="B259" s="334"/>
      <c r="C259" s="334"/>
      <c r="D259" s="334"/>
      <c r="E259" s="334"/>
      <c r="F259" s="334"/>
      <c r="G259" s="334"/>
      <c r="H259" s="334"/>
      <c r="I259" s="335"/>
    </row>
    <row r="260" spans="1:10" x14ac:dyDescent="0.25">
      <c r="A260" s="333"/>
      <c r="B260" s="334"/>
      <c r="C260" s="334"/>
      <c r="D260" s="334"/>
      <c r="E260" s="334"/>
      <c r="F260" s="334"/>
      <c r="G260" s="334"/>
      <c r="H260" s="334"/>
      <c r="I260" s="335"/>
    </row>
    <row r="261" spans="1:10" x14ac:dyDescent="0.25">
      <c r="A261" s="336"/>
      <c r="B261" s="337"/>
      <c r="C261" s="337"/>
      <c r="D261" s="337"/>
      <c r="E261" s="337"/>
      <c r="F261" s="337"/>
      <c r="G261" s="337"/>
      <c r="H261" s="337"/>
      <c r="I261" s="338"/>
    </row>
  </sheetData>
  <mergeCells count="16">
    <mergeCell ref="A258:I261"/>
    <mergeCell ref="A241:D241"/>
    <mergeCell ref="A230:D230"/>
    <mergeCell ref="A220:D220"/>
    <mergeCell ref="F242:I242"/>
    <mergeCell ref="A12:F12"/>
    <mergeCell ref="F207:I207"/>
    <mergeCell ref="F197:I197"/>
    <mergeCell ref="A50:H50"/>
    <mergeCell ref="A51:H54"/>
    <mergeCell ref="K220:P220"/>
    <mergeCell ref="K221:P221"/>
    <mergeCell ref="K77:P77"/>
    <mergeCell ref="K78:P78"/>
    <mergeCell ref="K168:P168"/>
    <mergeCell ref="K169:P169"/>
  </mergeCells>
  <phoneticPr fontId="11" type="noConversion"/>
  <dataValidations disablePrompts="1" count="12">
    <dataValidation type="list" allowBlank="1" showInputMessage="1" showErrorMessage="1" sqref="G48:G49" xr:uid="{D2166BDE-1F75-421F-9FAE-10E90022CD02}">
      <formula1>"(Välj),TJ,ton,m3,Nm3,Annan enhet (ange i kommentarsfältet)"</formula1>
    </dataValidation>
    <dataValidation type="list" allowBlank="1" showInputMessage="1" showErrorMessage="1" sqref="D43 D39:D41" xr:uid="{0FD7AF0C-206B-471F-9155-C26C505BE63D}">
      <formula1>"(Välj),Förpackningskartong,Förpackningspapper,Wellpappmaterial,Tryckpapper,Tidningspapper,Mjukpapper,Övrigt (ange i kommentarsfältet)"</formula1>
    </dataValidation>
    <dataValidation type="list" allowBlank="1" showInputMessage="1" showErrorMessage="1" sqref="D44" xr:uid="{A002324F-6439-4211-BF9A-25F7F561D2B4}">
      <formula1>"(Välj),Kondens,Mottryck"</formula1>
    </dataValidation>
    <dataValidation type="list" allowBlank="1" showInputMessage="1" showErrorMessage="1" sqref="D33 D22:D23" xr:uid="{52A52E76-838C-4135-9A94-DDFF138DB4D9}">
      <formula1>"(Välj),ECF-blekt,TCF-blekt,Ditionit,Väteperoxid,Ditionit+Väteperoxid,Oblekt"</formula1>
    </dataValidation>
    <dataValidation type="list" allowBlank="1" showInputMessage="1" showErrorMessage="1" sqref="D25 D35" xr:uid="{4E2C88EB-24E8-44B6-A58D-C4E5DAB4D720}">
      <formula1>"(Välj),Inköpta,Egenproducerade,I huvudsak inköpta,I huvudsak egenproducerade"</formula1>
    </dataValidation>
    <dataValidation type="list" allowBlank="1" showInputMessage="1" showErrorMessage="1" sqref="D58" xr:uid="{63247E70-D692-4E2A-B9D3-0024DE8DF00D}">
      <formula1>"(Välj),m3fub,ton"</formula1>
    </dataValidation>
    <dataValidation type="list" allowBlank="1" showInputMessage="1" showErrorMessage="1" sqref="D31 D16:D18" xr:uid="{4BEE2574-67DE-4A6B-BBB4-A9ED75ACBC4B}">
      <formula1>"(Välj),Löv - rundved,Löv - flis,Barr - rundved,Barr - flis"</formula1>
    </dataValidation>
    <dataValidation type="list" allowBlank="1" showInputMessage="1" showErrorMessage="1" sqref="D20" xr:uid="{658FC92C-68B8-4CD1-ACDD-BCEDA16D2412}">
      <formula1>"(Välj),Pappersmassa,Dissolving,Annat"</formula1>
    </dataValidation>
    <dataValidation type="list" allowBlank="1" showInputMessage="1" showErrorMessage="1" sqref="D42" xr:uid="{BDDF52EE-597A-40F1-A1C2-38CC1E3D759F}">
      <formula1>"(Välj),Fyllmedel,Bestrykning"</formula1>
    </dataValidation>
    <dataValidation type="list" allowBlank="1" showInputMessage="1" showErrorMessage="1" sqref="G16:G18 G31" xr:uid="{267798ED-4048-4E91-92F3-8EE043D53119}">
      <formula1>"(Välj),m3fub,ton,%,Annan enhet (ange i kommentarsfältet)"</formula1>
    </dataValidation>
    <dataValidation type="list" allowBlank="1" showInputMessage="1" showErrorMessage="1" sqref="D48" xr:uid="{645B5263-F1AA-482F-9482-982A5E7AAD72}">
      <formula1>"(Välj),Lignin,Metanol,Annan (ange i kommentarsfältet),Ingen"</formula1>
    </dataValidation>
    <dataValidation type="list" allowBlank="1" showInputMessage="1" showErrorMessage="1" sqref="D29" xr:uid="{148E8BEF-E587-4928-9C6D-8577ACAFA9FB}">
      <formula1>"(Välj), I huvudsak egenproducerad kalk, Betydande mängd inköpt kalk"</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A1505F-944D-4ED2-B0FA-A3B7639451A7}"/>
</file>

<file path=customXml/itemProps2.xml><?xml version="1.0" encoding="utf-8"?>
<ds:datastoreItem xmlns:ds="http://schemas.openxmlformats.org/officeDocument/2006/customXml" ds:itemID="{CE78FFB4-874E-4E8F-98CD-5104BDDBC9E7}">
  <ds:schemaRefs>
    <ds:schemaRef ds:uri="http://schemas.microsoft.com/sharepoint/v3/contenttype/forms"/>
  </ds:schemaRefs>
</ds:datastoreItem>
</file>

<file path=customXml/itemProps3.xml><?xml version="1.0" encoding="utf-8"?>
<ds:datastoreItem xmlns:ds="http://schemas.openxmlformats.org/officeDocument/2006/customXml" ds:itemID="{F3CDB4F2-9A3C-4953-9669-0797AF748B18}">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Sulfat+NSSC+Papper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Fernandez, Hanna</dc:creator>
  <cp:keywords/>
  <dc:description/>
  <cp:lastModifiedBy>Elin  Svensson</cp:lastModifiedBy>
  <cp:revision/>
  <dcterms:created xsi:type="dcterms:W3CDTF">2018-09-17T06:42:26Z</dcterms:created>
  <dcterms:modified xsi:type="dcterms:W3CDTF">2025-07-08T06:22:09Z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