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21" documentId="8_{DC890600-8DD3-410B-8A7B-A75E4C453A98}" xr6:coauthVersionLast="47" xr6:coauthVersionMax="47" xr10:uidLastSave="{6A165B3C-7631-4CF9-B46A-147C61A77592}"/>
  <bookViews>
    <workbookView xWindow="-120" yWindow="-120" windowWidth="29040" windowHeight="15720" xr2:uid="{81CFD70E-8034-4963-A311-A79E2EEFE8E7}"/>
  </bookViews>
  <sheets>
    <sheet name="Sulfat+RCF+Papper"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0" i="2" l="1"/>
  <c r="P192" i="2"/>
  <c r="P189" i="2"/>
  <c r="P188" i="2"/>
  <c r="P143" i="2"/>
  <c r="P140" i="2"/>
  <c r="P139" i="2"/>
  <c r="N139" i="2"/>
  <c r="N97" i="2"/>
  <c r="P77" i="2"/>
  <c r="P73" i="2"/>
  <c r="N73" i="2"/>
  <c r="P79" i="2"/>
  <c r="I136" i="2"/>
  <c r="I205" i="2" l="1"/>
  <c r="P191" i="2" s="1"/>
  <c r="I204" i="2"/>
  <c r="I203" i="2"/>
  <c r="I202" i="2"/>
  <c r="P190" i="2" s="1"/>
  <c r="I201" i="2"/>
  <c r="P193" i="2" l="1"/>
  <c r="P187" i="2"/>
  <c r="I163" i="2" l="1"/>
  <c r="P142" i="2" s="1"/>
  <c r="I162" i="2"/>
  <c r="I161" i="2"/>
  <c r="I160" i="2"/>
  <c r="I159" i="2"/>
  <c r="D151" i="2"/>
  <c r="D149" i="2"/>
  <c r="D148" i="2"/>
  <c r="I104" i="2"/>
  <c r="D72" i="2"/>
  <c r="P144" i="2" l="1"/>
  <c r="P141" i="2"/>
  <c r="P138" i="2"/>
  <c r="D203" i="2"/>
  <c r="D202" i="2"/>
  <c r="D194" i="2"/>
  <c r="D62" i="2" l="1"/>
  <c r="P71" i="2" s="1"/>
  <c r="D163" i="2" l="1"/>
  <c r="D210" i="2"/>
  <c r="D204" i="2"/>
  <c r="D199" i="2"/>
  <c r="D176" i="2"/>
  <c r="D170" i="2"/>
  <c r="D159" i="2"/>
  <c r="D146" i="2"/>
  <c r="D137" i="2"/>
  <c r="I167" i="2" s="1"/>
  <c r="D114" i="2"/>
  <c r="D117" i="2" s="1"/>
  <c r="D100" i="2"/>
  <c r="D152" i="2" l="1"/>
  <c r="I140" i="2" s="1"/>
  <c r="I168" i="2"/>
  <c r="I169" i="2" s="1"/>
  <c r="D104" i="2"/>
  <c r="D108" i="2" s="1"/>
  <c r="I158" i="2"/>
  <c r="P137" i="2" s="1"/>
  <c r="D211" i="2"/>
  <c r="D177" i="2"/>
  <c r="I170" i="2"/>
  <c r="D138" i="2"/>
  <c r="D78" i="2"/>
  <c r="N79" i="2"/>
  <c r="I171" i="2" l="1"/>
  <c r="D118" i="2"/>
  <c r="I107" i="2" s="1"/>
  <c r="I113" i="2" s="1"/>
  <c r="I117" i="2" s="1"/>
  <c r="I126" i="2" s="1"/>
  <c r="D81" i="2"/>
  <c r="D82" i="2" s="1"/>
  <c r="D83" i="2" s="1"/>
  <c r="D89" i="2" s="1"/>
  <c r="N137" i="2"/>
  <c r="N71" i="2"/>
  <c r="N95" i="2"/>
  <c r="I120" i="2"/>
  <c r="I128" i="2" s="1"/>
  <c r="I118" i="2"/>
  <c r="I125" i="2" s="1"/>
  <c r="I116" i="2"/>
  <c r="I119" i="2"/>
  <c r="I127" i="2" s="1"/>
  <c r="I146" i="2" s="1"/>
  <c r="I153" i="2" s="1"/>
  <c r="I145" i="2" l="1"/>
  <c r="I152" i="2" s="1"/>
  <c r="I124" i="2"/>
  <c r="N98" i="2" s="1"/>
  <c r="I121" i="2"/>
  <c r="N99" i="2"/>
  <c r="I144" i="2"/>
  <c r="I151" i="2" s="1"/>
  <c r="N100" i="2"/>
  <c r="I147" i="2"/>
  <c r="I154" i="2" s="1"/>
  <c r="N142" i="2" s="1"/>
  <c r="N101" i="2"/>
  <c r="I69" i="2"/>
  <c r="P75" i="2" s="1"/>
  <c r="I68" i="2"/>
  <c r="I67" i="2"/>
  <c r="P72" i="2" s="1"/>
  <c r="P74" i="2" s="1"/>
  <c r="I71" i="2"/>
  <c r="P76" i="2" s="1"/>
  <c r="I70" i="2"/>
  <c r="D164" i="2"/>
  <c r="D183" i="2"/>
  <c r="P78" i="2" l="1"/>
  <c r="N102" i="2"/>
  <c r="I143" i="2"/>
  <c r="I150" i="2" s="1"/>
  <c r="N96" i="2"/>
  <c r="N141" i="2"/>
  <c r="N144" i="2" s="1"/>
  <c r="N143" i="2"/>
  <c r="D193" i="2"/>
  <c r="D195" i="2" s="1"/>
  <c r="I200" i="2" s="1"/>
  <c r="P186" i="2" s="1"/>
  <c r="D184" i="2"/>
  <c r="D185" i="2" s="1"/>
  <c r="D188" i="2" s="1"/>
  <c r="D187" i="2" l="1"/>
  <c r="D191" i="2" s="1"/>
  <c r="N140" i="2"/>
  <c r="I75" i="2"/>
  <c r="I83" i="2" s="1"/>
  <c r="I78" i="2"/>
  <c r="I85" i="2" s="1"/>
  <c r="N76" i="2" s="1"/>
  <c r="I76" i="2"/>
  <c r="I82" i="2" s="1"/>
  <c r="I77" i="2"/>
  <c r="I84" i="2" s="1"/>
  <c r="I74" i="2"/>
  <c r="I81" i="2" s="1"/>
  <c r="D200" i="2"/>
  <c r="I189" i="2" l="1"/>
  <c r="I196" i="2" s="1"/>
  <c r="N138" i="2"/>
  <c r="N74" i="2"/>
  <c r="N72" i="2"/>
  <c r="N77" i="2"/>
  <c r="N75" i="2"/>
  <c r="N78" i="2" s="1"/>
  <c r="N191" i="2" l="1"/>
  <c r="I186" i="2"/>
  <c r="I193" i="2" s="1"/>
  <c r="I187" i="2"/>
  <c r="I194" i="2" s="1"/>
  <c r="N188" i="2" s="1"/>
  <c r="I185" i="2"/>
  <c r="I192" i="2" s="1"/>
  <c r="N189" i="2" s="1"/>
  <c r="I188" i="2"/>
  <c r="I195" i="2" s="1"/>
  <c r="N192" i="2" s="1"/>
  <c r="I182" i="2"/>
  <c r="N186" i="2" s="1"/>
  <c r="N187" i="2" l="1"/>
  <c r="N190" i="2"/>
  <c r="N19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67" authorId="0" shapeId="0" xr:uid="{83274C75-8232-418B-BD27-EF66D39C805D}">
      <text>
        <r>
          <rPr>
            <b/>
            <sz val="9"/>
            <color indexed="81"/>
            <rFont val="Tahoma"/>
            <family val="2"/>
          </rPr>
          <t>Åkesson, Olof:</t>
        </r>
        <r>
          <rPr>
            <sz val="9"/>
            <color indexed="81"/>
            <rFont val="Tahoma"/>
            <family val="2"/>
          </rPr>
          <t xml:space="preserve">
el från egen kraftproduktion, men utanför brukets systemgräns, t ex egen ägd vindkraft räknas som inköpt el</t>
        </r>
      </text>
    </comment>
    <comment ref="C94" authorId="0" shapeId="0" xr:uid="{FF5477BD-AF50-43C0-9779-45DDFB47B8DF}">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95" authorId="0" shapeId="0" xr:uid="{1BC7907F-092B-44BC-B7B8-F75FF8E7D5C2}">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<sst xmlns="http://schemas.openxmlformats.org/spreadsheetml/2006/main" count="911" uniqueCount="667">
  <si>
    <r>
      <t>Grönt med</t>
    </r>
    <r>
      <rPr>
        <b/>
        <sz val="11"/>
        <color rgb="FF0070C0"/>
        <rFont val="Calibri"/>
        <family val="2"/>
        <scheme val="minor"/>
      </rPr>
      <t xml:space="preserve"> blå text</t>
    </r>
    <r>
      <rPr>
        <b/>
        <sz val="11"/>
        <color theme="1"/>
        <rFont val="Calibri"/>
        <family val="2"/>
        <scheme val="minor"/>
      </rPr>
      <t xml:space="preserve"> = Celler där data ska läggas in</t>
    </r>
  </si>
  <si>
    <t>Gult med svart text = Beräknade data</t>
  </si>
  <si>
    <t>NAMN PÅ BRUK:</t>
  </si>
  <si>
    <t>Blå = Beräknade nyckeltal</t>
  </si>
  <si>
    <t>ORT:</t>
  </si>
  <si>
    <t>SKOGEBORG</t>
  </si>
  <si>
    <t>Orange = Kontroll</t>
  </si>
  <si>
    <t>Rosa = Celler där data hämtas från annan cell</t>
  </si>
  <si>
    <t>Grå = Indata, flerval</t>
  </si>
  <si>
    <t>METADATA</t>
  </si>
  <si>
    <t>Område</t>
  </si>
  <si>
    <t>Förklaring</t>
  </si>
  <si>
    <t>Värde</t>
  </si>
  <si>
    <t>Kommentar</t>
  </si>
  <si>
    <t>Blekning</t>
  </si>
  <si>
    <t>(Välj)</t>
  </si>
  <si>
    <t>ADt</t>
  </si>
  <si>
    <t>Produktion av blekkemikalier</t>
  </si>
  <si>
    <t>Ange om använda blekkemikalier är inköpta eller egenproducerade</t>
  </si>
  <si>
    <t>-</t>
  </si>
  <si>
    <t>Kappatal</t>
  </si>
  <si>
    <t>Ange kappatal i sulfatmassakoket</t>
  </si>
  <si>
    <t>Papper</t>
  </si>
  <si>
    <t>Typ av papper/kartong</t>
  </si>
  <si>
    <r>
      <t xml:space="preserve">Ange vilken/vilka typ(er) av papper/kartong som produceras, och produktion av respektive typ
</t>
    </r>
    <r>
      <rPr>
        <i/>
        <sz val="11"/>
        <color theme="1"/>
        <rFont val="Calibri"/>
        <family val="2"/>
        <scheme val="minor"/>
      </rPr>
      <t>[Infoga rader efter behov (om flera typer av papper/kartong)]</t>
    </r>
  </si>
  <si>
    <t>ton</t>
  </si>
  <si>
    <t>Energisystem</t>
  </si>
  <si>
    <t>Turbiner</t>
  </si>
  <si>
    <r>
      <t xml:space="preserve">Ange typ av turbin (kondens/mottryck) och antal
</t>
    </r>
    <r>
      <rPr>
        <i/>
        <sz val="11"/>
        <color theme="1"/>
        <rFont val="Calibri"/>
        <family val="2"/>
        <scheme val="minor"/>
      </rPr>
      <t>[Infoga rader efter behov (om flera typer av turbiner)]</t>
    </r>
  </si>
  <si>
    <t>Ångtryck</t>
  </si>
  <si>
    <r>
      <t xml:space="preserve">Lista de ångtryck som används i processen. 
</t>
    </r>
    <r>
      <rPr>
        <i/>
        <sz val="11"/>
        <color theme="1"/>
        <rFont val="Calibri"/>
        <family val="2"/>
        <scheme val="minor"/>
      </rPr>
      <t>[Infoga rader efter behov]</t>
    </r>
  </si>
  <si>
    <t>bar(a)</t>
  </si>
  <si>
    <t>[Kommentera vilka processavsnitt som använder respektive ångtryck]</t>
  </si>
  <si>
    <t>Produktion av specialprodukt</t>
  </si>
  <si>
    <r>
      <t xml:space="preserve">Lista de specialprodukter som produceras vid bruket, och produktion av respektive typ
</t>
    </r>
    <r>
      <rPr>
        <i/>
        <sz val="11"/>
        <color theme="1"/>
        <rFont val="Calibri"/>
        <family val="2"/>
        <scheme val="minor"/>
      </rPr>
      <t>[Infoga rader efter behov]</t>
    </r>
  </si>
  <si>
    <t>PRODUKTION</t>
  </si>
  <si>
    <t>Ekvation</t>
  </si>
  <si>
    <t>Benämning</t>
  </si>
  <si>
    <t>M1</t>
  </si>
  <si>
    <t>Ma pump sulf</t>
  </si>
  <si>
    <t>M2</t>
  </si>
  <si>
    <t>M3</t>
  </si>
  <si>
    <t>Ma avsalu sulf</t>
  </si>
  <si>
    <t>såld sulfatmassa (avsalumassa)</t>
  </si>
  <si>
    <t>M4</t>
  </si>
  <si>
    <t>Ma ink</t>
  </si>
  <si>
    <t>inköpt massa</t>
  </si>
  <si>
    <t>P1</t>
  </si>
  <si>
    <t>Pa tot</t>
  </si>
  <si>
    <t>MP1</t>
  </si>
  <si>
    <t>Slutprod</t>
  </si>
  <si>
    <t>summa slutprodukter massa och papper</t>
  </si>
  <si>
    <t>ADt + ton</t>
  </si>
  <si>
    <t>ELFÖRBRUKNING</t>
  </si>
  <si>
    <t>TJ</t>
  </si>
  <si>
    <t>el ink</t>
  </si>
  <si>
    <t>el inköpt</t>
  </si>
  <si>
    <t>E11</t>
  </si>
  <si>
    <t>E12</t>
  </si>
  <si>
    <t>el såld</t>
  </si>
  <si>
    <t>el såld till elnätet</t>
  </si>
  <si>
    <t>E13</t>
  </si>
  <si>
    <t>el tork sulf gem</t>
  </si>
  <si>
    <t>E1</t>
  </si>
  <si>
    <t>El tot tillf</t>
  </si>
  <si>
    <t>Total elförbrukning i massabruket beräknad från produktion och handel (tillförselsidan)</t>
  </si>
  <si>
    <t>E14</t>
  </si>
  <si>
    <t>E15</t>
  </si>
  <si>
    <t>E16</t>
  </si>
  <si>
    <t>el tork sulf uppm</t>
  </si>
  <si>
    <t>uppmätt elförbrukning för torkning av sulfat-pumpmassa till avsalumassa</t>
  </si>
  <si>
    <t>E17</t>
  </si>
  <si>
    <t>el uppsl gem</t>
  </si>
  <si>
    <t>gemensam elförbrukning som fördelats till, eller med utgångspunkt från andel av uppmätt förbrukning hänförts till uppslagning av inköpt massa</t>
  </si>
  <si>
    <t>E18</t>
  </si>
  <si>
    <t>el pa gem</t>
  </si>
  <si>
    <t>gemensam elförbrukning som fördelats till, eller med utgångspunkt från andel av uppmätt förbrukning hänförts till själva pappersproduktionen</t>
  </si>
  <si>
    <t>el uppsl uppm</t>
  </si>
  <si>
    <t>uppmätt elförbrukning för uppslagning av inköpt massa</t>
  </si>
  <si>
    <t>el pa uppm</t>
  </si>
  <si>
    <t>uppmätt elförbrukning för själva pappersproduktionen</t>
  </si>
  <si>
    <t>E19</t>
  </si>
  <si>
    <t>E2</t>
  </si>
  <si>
    <t>el proc uppm</t>
  </si>
  <si>
    <t>Summa elförbrukning som uppmätts specifikt för de olika processavsnitten</t>
  </si>
  <si>
    <t>E20</t>
  </si>
  <si>
    <t>el gem uppm</t>
  </si>
  <si>
    <t>uppmätt elförbrukning för gemensamma funktioner, dvs el som används för t.ex. vattenrening, kontor, underhållsverkstad och som inte används i elpannor för värmeproduktion</t>
  </si>
  <si>
    <t>E21</t>
  </si>
  <si>
    <t>el tork sulf br</t>
  </si>
  <si>
    <t>el br</t>
  </si>
  <si>
    <t>elförbrukning för produktion av värme i elpannor och el till övrig panndrift (användning av el som ”bränsle”)</t>
  </si>
  <si>
    <t>E22</t>
  </si>
  <si>
    <t>E3</t>
  </si>
  <si>
    <t>E23</t>
  </si>
  <si>
    <t>E4</t>
  </si>
  <si>
    <t>el bal</t>
  </si>
  <si>
    <t>E24</t>
  </si>
  <si>
    <t>E5</t>
  </si>
  <si>
    <t>el gem</t>
  </si>
  <si>
    <t>el som förbrukas i gemensamma funktioner eller ingår i gemensam balanspost</t>
  </si>
  <si>
    <t>E25</t>
  </si>
  <si>
    <t>el uppsl br</t>
  </si>
  <si>
    <t>E26</t>
  </si>
  <si>
    <t>el pa br</t>
  </si>
  <si>
    <t>el gem förd tork sulf</t>
  </si>
  <si>
    <t xml:space="preserve">del av gemensam elförbrukning (inkl. gemensam balanspost) som kan fördelas till torkning av sulfat-pumpmassa till avsalumassa baserat på rimliga antaganden och uppskattningar </t>
  </si>
  <si>
    <t>E27</t>
  </si>
  <si>
    <t>E28</t>
  </si>
  <si>
    <t>el gem förd uppsl</t>
  </si>
  <si>
    <t>del av gemensam elförbrukning (inkl gemensam balanspost) som kan fördelas  till uppslagning av massa baserat på rimliga antaganden och uppskattningar</t>
  </si>
  <si>
    <t>el gem förd pa</t>
  </si>
  <si>
    <t>del av gemensam elförbrukning (inkl gemensam balanspost) som kan fördelas till pappersproduktionen baserat på rimliga antaganden och uppskattningar</t>
  </si>
  <si>
    <t>E6</t>
  </si>
  <si>
    <t>E7</t>
  </si>
  <si>
    <t>E8</t>
  </si>
  <si>
    <t>El pump sulf</t>
  </si>
  <si>
    <t>E9</t>
  </si>
  <si>
    <t>E10</t>
  </si>
  <si>
    <t>el gem rest</t>
  </si>
  <si>
    <t>resterande gemensam elförbrukning som inte tydligt kan fördelas till specifika processavsnitt</t>
  </si>
  <si>
    <t>El tork sulf</t>
  </si>
  <si>
    <t>El uppsl</t>
  </si>
  <si>
    <t>El pa</t>
  </si>
  <si>
    <t>NYCKELTAL</t>
  </si>
  <si>
    <t>Självförsörjningsgrad el</t>
  </si>
  <si>
    <t>VÄRMEFÖRBRUKNING</t>
  </si>
  <si>
    <t>q turb</t>
  </si>
  <si>
    <t>Q19</t>
  </si>
  <si>
    <t>q dir</t>
  </si>
  <si>
    <t>Q20</t>
  </si>
  <si>
    <t>q gp</t>
  </si>
  <si>
    <t>ånga producerad i starkgaspanna</t>
  </si>
  <si>
    <t>Q21</t>
  </si>
  <si>
    <t>q tork sulf gem</t>
  </si>
  <si>
    <t xml:space="preserve">gemensam värmeförbrukning som fördelats till, eller med utgångspunkt från andel av uppmätt förbrukning hänförts till torkning av sulfat-pumpmassa till avsalumassa </t>
  </si>
  <si>
    <t>q elp</t>
  </si>
  <si>
    <t>ånga producerad i elpanna</t>
  </si>
  <si>
    <t>Q22</t>
  </si>
  <si>
    <t>q övrp</t>
  </si>
  <si>
    <t>Q23</t>
  </si>
  <si>
    <t>q vtn</t>
  </si>
  <si>
    <t xml:space="preserve">hetvatten som produceras i egen panna (t.ex. oljepanna eller elpanna)  </t>
  </si>
  <si>
    <t>Q24</t>
  </si>
  <si>
    <t>Q1</t>
  </si>
  <si>
    <t>Q25</t>
  </si>
  <si>
    <t>q uppsl gem</t>
  </si>
  <si>
    <t>gemensam värmeförbrukning som fördelats till, eller med utgångspunkt från andel av uppmätt förbrukning hänförts till  uppslagning av inköpt massa</t>
  </si>
  <si>
    <t>q pa gem</t>
  </si>
  <si>
    <t>gemensam värmeförbrukning som fördelats till, eller med utgångspunkt från andel av uppmätt förbrukning hänförts till själva pappersproduktionen</t>
  </si>
  <si>
    <t>Q2</t>
  </si>
  <si>
    <t>Kontroll (ska vara noll)</t>
  </si>
  <si>
    <t>q ink</t>
  </si>
  <si>
    <t>ånga  eller hetvatten som köps in från extern leverantör</t>
  </si>
  <si>
    <t>q prim ext</t>
  </si>
  <si>
    <t>primärvärme (ånga) som säljs till extern förbrukare</t>
  </si>
  <si>
    <t>Q3</t>
  </si>
  <si>
    <t>Q tot brutto</t>
  </si>
  <si>
    <t>brutto förbrukning av värme vid massa- och pappersbruket, beräknad från värmeproduktion</t>
  </si>
  <si>
    <t>q sek ext</t>
  </si>
  <si>
    <t>sekundärvärme från bruket som säljs till extern förbrukare</t>
  </si>
  <si>
    <t>Q4</t>
  </si>
  <si>
    <t>Q tot netto</t>
  </si>
  <si>
    <t>netto förbrukning av värme vid massabruket, beräknad från värmeproduktion</t>
  </si>
  <si>
    <t>q tork sulf uppm</t>
  </si>
  <si>
    <t>uppmätt förbrukning av primärvärme för torkning av sulfat-avsalumassa</t>
  </si>
  <si>
    <t>Q pump sulf</t>
  </si>
  <si>
    <t>q uppsl uppm</t>
  </si>
  <si>
    <t>uppmätt förbrukning av primärvärme för uppslagning av inköpt massa</t>
  </si>
  <si>
    <t>q pa uppm</t>
  </si>
  <si>
    <t>uppmätt förbrukning av primärvärme för själva pappersproduktionen</t>
  </si>
  <si>
    <t>Q5</t>
  </si>
  <si>
    <t>q proc uppm</t>
  </si>
  <si>
    <t>summa  primärvärmeförbrukning uppmätt specifikt för de olika processavsnitten</t>
  </si>
  <si>
    <t>q gem uppm</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</si>
  <si>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</si>
  <si>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Q uppsl</t>
  </si>
  <si>
    <t>q fribl uppm</t>
  </si>
  <si>
    <t xml:space="preserve">uppmätt friblåsning av ånga som därmed inte nyttiggörs i produktionen </t>
  </si>
  <si>
    <t>Q pa</t>
  </si>
  <si>
    <t>Q6</t>
  </si>
  <si>
    <t>Q tot uppm</t>
  </si>
  <si>
    <t>total uppmätt primärvärmeförbrukning</t>
  </si>
  <si>
    <t>Q7</t>
  </si>
  <si>
    <t>q prim bal</t>
  </si>
  <si>
    <t>GJ/ADt</t>
  </si>
  <si>
    <t>q tork sulf→sek</t>
  </si>
  <si>
    <t xml:space="preserve">sekundärvärme som tillvaratas från torkningen av sulfat-avsalumassa </t>
  </si>
  <si>
    <t>q uppsl→sek</t>
  </si>
  <si>
    <t xml:space="preserve">sekundärvärme som tillvaratas från uppslagningen av inköpt massa  </t>
  </si>
  <si>
    <t>q pa→sek</t>
  </si>
  <si>
    <t>sekundärvärme som tillvaratas från själva pappersproduktionen</t>
  </si>
  <si>
    <t>q sek→tork sulf</t>
  </si>
  <si>
    <t>sekundärvärme som används för torkning av sulfat-avsalumassa</t>
  </si>
  <si>
    <t>q sek→uppsl</t>
  </si>
  <si>
    <t>sekundärvärme som används för uppslagning av inköpt massa</t>
  </si>
  <si>
    <t>q sek→pa</t>
  </si>
  <si>
    <t>sekundärvärme som används för själva pappersproduktionen </t>
  </si>
  <si>
    <t>Q8</t>
  </si>
  <si>
    <t>q sek bal</t>
  </si>
  <si>
    <t>Q9</t>
  </si>
  <si>
    <t>Q10</t>
  </si>
  <si>
    <t>Q11</t>
  </si>
  <si>
    <t>Q12</t>
  </si>
  <si>
    <t>Q13</t>
  </si>
  <si>
    <t>q gem</t>
  </si>
  <si>
    <t>värme som förbrukas i gemensamma funktioner eller ingår i gemensamma balansposter</t>
  </si>
  <si>
    <t>q gem förd tork sulf</t>
  </si>
  <si>
    <t xml:space="preserve">del av gemensam värmeförbrukning (inkl. friblåsning och gemensam balanspost) som kan fördelas till torkning av sulfat-pumpmassa till avsalumassa baserat på rimliga antaganden och uppskattningar </t>
  </si>
  <si>
    <t>q gem förd uppsl</t>
  </si>
  <si>
    <t>q gem förd pa</t>
  </si>
  <si>
    <t>del av gemensam värmeförbrukning (inkl friblåsning och gemensam balanspost)  som kan fördelas till själva pappersproduktionen baserat på rimliga antaganden och uppskattningar</t>
  </si>
  <si>
    <t>Q14</t>
  </si>
  <si>
    <t>Q15</t>
  </si>
  <si>
    <t>Q16</t>
  </si>
  <si>
    <t>Q17</t>
  </si>
  <si>
    <t>Q18</t>
  </si>
  <si>
    <t>q gem rest</t>
  </si>
  <si>
    <t>resterande gemensam värmeförbrukning som inte tydligt kan fördelas till något av de olika processavsnitten</t>
  </si>
  <si>
    <t>br bio ink fast</t>
  </si>
  <si>
    <t>inköpt bark, skogsflis och andra fasta biobränslen</t>
  </si>
  <si>
    <t>br såld bark</t>
  </si>
  <si>
    <t>såld bark och annat fast biobränsle som uppkommit i vedhantering och renseri</t>
  </si>
  <si>
    <t>B9</t>
  </si>
  <si>
    <t>Br tot inre netto</t>
  </si>
  <si>
    <t>Summa förbrukning av bränslen, inre systemgräns</t>
  </si>
  <si>
    <t>B1</t>
  </si>
  <si>
    <t>Br bio fast inre</t>
  </si>
  <si>
    <t>bark eller annat fast biobränsle som används för värmeproduktion vid bruket (förbränns i pannor eller används för direktvärme)</t>
  </si>
  <si>
    <t>Kontroll balans fast biobränsle (ska vara noll)</t>
  </si>
  <si>
    <t>Bränsle som används för produktion av ånga och hetvatten i egna pannor</t>
  </si>
  <si>
    <t>B10</t>
  </si>
  <si>
    <t>br pump sulf panna</t>
  </si>
  <si>
    <t>bränsle som används för att producera värme i form av ånga eller hetvatten fördelad till produktion av sulfat-pumpmassa</t>
  </si>
  <si>
    <t>br fast bio panna</t>
  </si>
  <si>
    <t>B11</t>
  </si>
  <si>
    <t>br tork sulf panna</t>
  </si>
  <si>
    <t>bränsle som används för att producera värme i form av ånga eller hetvatten fördelad till torkning av sulfat-pumpmassa till avsalumassa</t>
  </si>
  <si>
    <t>br flyt bio panna</t>
  </si>
  <si>
    <t>inköpta flytande biobränslen</t>
  </si>
  <si>
    <t>B12</t>
  </si>
  <si>
    <t>br gas bio panna</t>
  </si>
  <si>
    <t>inköpt biogas</t>
  </si>
  <si>
    <t>B13</t>
  </si>
  <si>
    <t>br eo fos panna</t>
  </si>
  <si>
    <t>fossil eldningsolja</t>
  </si>
  <si>
    <t>br gas fos panna</t>
  </si>
  <si>
    <t>B2</t>
  </si>
  <si>
    <t>Br panna inre brutto</t>
  </si>
  <si>
    <t>Summa bränsle för värmeproduktion i pannor, inre systemgräns, brutto</t>
  </si>
  <si>
    <t>B14</t>
  </si>
  <si>
    <t>η ext</t>
  </si>
  <si>
    <t>B15</t>
  </si>
  <si>
    <t>B3</t>
  </si>
  <si>
    <t>B4</t>
  </si>
  <si>
    <t>Br panna inre netto</t>
  </si>
  <si>
    <t>Summa bränsle för värmeproduktion i pannor, inre systemgräns, netto</t>
  </si>
  <si>
    <t>B16</t>
  </si>
  <si>
    <t>Br pump sulf</t>
  </si>
  <si>
    <t>br fast bio dir</t>
  </si>
  <si>
    <t>B17</t>
  </si>
  <si>
    <t>br flyt bio dir</t>
  </si>
  <si>
    <t>B18</t>
  </si>
  <si>
    <t>Br tork sulf</t>
  </si>
  <si>
    <t>br gas bio dir</t>
  </si>
  <si>
    <t>B19</t>
  </si>
  <si>
    <t>br eo fos dir</t>
  </si>
  <si>
    <t>B20</t>
  </si>
  <si>
    <t>br gas fos dir</t>
  </si>
  <si>
    <t>övriga  fossila bränslen, t.ex. gasol och naturgas</t>
  </si>
  <si>
    <t>B21</t>
  </si>
  <si>
    <t>B5</t>
  </si>
  <si>
    <t>Br dir inre</t>
  </si>
  <si>
    <t>B6</t>
  </si>
  <si>
    <t>Kontroll, ska vara 0 (noll)</t>
  </si>
  <si>
    <t>B22</t>
  </si>
  <si>
    <t>x bio eget</t>
  </si>
  <si>
    <t>andel av totalt använd bark och annat biobränsle som uppkommit vid bruket</t>
  </si>
  <si>
    <t>Bränsle övrigt, använt som drivmedel eller för annat ändamål än värme eller direktvärme</t>
  </si>
  <si>
    <t>B23</t>
  </si>
  <si>
    <t>Summa bränsle för värmeproduktion i pannor, yttre systemgräns, brutto</t>
  </si>
  <si>
    <t>br driv bio</t>
  </si>
  <si>
    <t>biodrivmedel (interna transporter), t.ex. biodiesel och etanol</t>
  </si>
  <si>
    <t>B24</t>
  </si>
  <si>
    <t>Br panna yttre netto</t>
  </si>
  <si>
    <t>Summa bränsle värmeproduktion i pannor, yttre systemgräns, netto</t>
  </si>
  <si>
    <t>br driv fos</t>
  </si>
  <si>
    <t>fossilt drivmedel (interna transporter), t.ex. bensin och diesel</t>
  </si>
  <si>
    <t>B25</t>
  </si>
  <si>
    <t>Br dir yttre</t>
  </si>
  <si>
    <t>br annat bio</t>
  </si>
  <si>
    <t>bränsle för andra ändamål, bio</t>
  </si>
  <si>
    <t>B26</t>
  </si>
  <si>
    <t>Br tot yttre</t>
  </si>
  <si>
    <t>Summa förbrukning av bränslen, yttre systemgräns</t>
  </si>
  <si>
    <t>br annat fos</t>
  </si>
  <si>
    <t>bränsle för andra ändamål, fossilt</t>
  </si>
  <si>
    <t>B7</t>
  </si>
  <si>
    <t>Br övr</t>
  </si>
  <si>
    <t>B27</t>
  </si>
  <si>
    <t>B28</t>
  </si>
  <si>
    <t>br tork sulf övr</t>
  </si>
  <si>
    <t>drivmedel och övrigt bränsle som används i verksamhet som kan hänföras till torkningen av sulfatmassa, t.ex. truckar för utlastning av avsalumassa</t>
  </si>
  <si>
    <t>B29</t>
  </si>
  <si>
    <t>B30</t>
  </si>
  <si>
    <t>B8</t>
  </si>
  <si>
    <r>
      <t xml:space="preserve">Summa drivmedel och övrigt bränsle </t>
    </r>
    <r>
      <rPr>
        <sz val="11"/>
        <color theme="1"/>
        <rFont val="Calibri"/>
        <family val="2"/>
        <scheme val="minor"/>
      </rPr>
      <t>(beräknad från ändamål)</t>
    </r>
  </si>
  <si>
    <t>BRÄNSLEFÖRBRUKNING FOSSIL</t>
  </si>
  <si>
    <t>Fossilt bränsle som används för produktion av ånga och varmvatten</t>
  </si>
  <si>
    <t>F1</t>
  </si>
  <si>
    <t>Br panna brutto fos</t>
  </si>
  <si>
    <t>Summa fossilt bränsle för värmeproduktion i pannor, brutto</t>
  </si>
  <si>
    <t>F8</t>
  </si>
  <si>
    <t>Br tot fos</t>
  </si>
  <si>
    <t>Summa fossilt bränsle</t>
  </si>
  <si>
    <t>F2</t>
  </si>
  <si>
    <t>F3</t>
  </si>
  <si>
    <t>Br panna netto fos</t>
  </si>
  <si>
    <t>Summa fossilt bränsle  för värmeproduktion i pannor, netto</t>
  </si>
  <si>
    <t>F9</t>
  </si>
  <si>
    <t>br pump sulf panna fos</t>
  </si>
  <si>
    <t>fossilt bränsle som används för att producera värme i form av ånga eller hetvatten fördelad till produktion av sulfat-pumpmassa</t>
  </si>
  <si>
    <t>F10</t>
  </si>
  <si>
    <t>br tork sulf panna fos</t>
  </si>
  <si>
    <t>fossilt bränsle som används för att producera värme i form av ånga eller hetvatten fördelad till torkning av sulfat-pumpmassa till avsalumassa</t>
  </si>
  <si>
    <t>F11</t>
  </si>
  <si>
    <t>F12</t>
  </si>
  <si>
    <t>F4</t>
  </si>
  <si>
    <t>Br dir fos</t>
  </si>
  <si>
    <t>Summa fossilt bränsle direktvärme (beräknat från bränsleslag)</t>
  </si>
  <si>
    <t>F13</t>
  </si>
  <si>
    <t>F5</t>
  </si>
  <si>
    <t>Summa fossilt bränsle direktvärme (beräknat från användning)</t>
  </si>
  <si>
    <t>F14</t>
  </si>
  <si>
    <t>Fossilt bränsle övrigt, använt som drivmedel eller för annat ändamål än värme eller direktvärme</t>
  </si>
  <si>
    <t>fossilt bränsle för andra ändamål</t>
  </si>
  <si>
    <t>Br pump sulf fos</t>
  </si>
  <si>
    <t>Förbrukning av fossilt bränsle för produktion av sulfat-pumpmassa</t>
  </si>
  <si>
    <t>F17</t>
  </si>
  <si>
    <t>Br tork sulf fos</t>
  </si>
  <si>
    <t>Förbrukning av fossilt bränsle för torkning av sulfat-avsalumassa</t>
  </si>
  <si>
    <t>F18</t>
  </si>
  <si>
    <t>br tork sulf övr fos</t>
  </si>
  <si>
    <t>fossilt drivmedel och övrigt bränsle som används i verksamhet som kan hänföras till torkningen av sulfatmassa, t.ex. truckar för utlastning av avsalumassa</t>
  </si>
  <si>
    <t>F19</t>
  </si>
  <si>
    <t>F20</t>
  </si>
  <si>
    <t>F6</t>
  </si>
  <si>
    <t>Br övr fos</t>
  </si>
  <si>
    <t>Summa  övrigt fossilt bränsle (beräknat från bränsleslag)</t>
  </si>
  <si>
    <t>F7</t>
  </si>
  <si>
    <t>Summa  övrigt fossilt bränsle (beräknat från ändamål)</t>
  </si>
  <si>
    <t>F21</t>
  </si>
  <si>
    <t>F22</t>
  </si>
  <si>
    <t>F23</t>
  </si>
  <si>
    <t>F24</t>
  </si>
  <si>
    <t>Kommentarer och noteringar</t>
  </si>
  <si>
    <t>Q tork sulf</t>
  </si>
  <si>
    <t>br pa dir</t>
  </si>
  <si>
    <t>bränsle som används för att producera direktvärme för själva pappersproduktionen</t>
  </si>
  <si>
    <t>bränsle som används för att producera direktvärme vid produktion av sulfat-pumpmassa, t.ex. bränsle till mesaugnen</t>
  </si>
  <si>
    <t>br tork sulf dir</t>
  </si>
  <si>
    <t>bränsle som används för att producera direktvärme för torkning av sulfatmassa, t.ex. direkteldade flingtorkar</t>
  </si>
  <si>
    <t>Bränsle som används för direktvärme (tex i mesaugn)</t>
  </si>
  <si>
    <t>br uppsl övr</t>
  </si>
  <si>
    <t>br pa övr</t>
  </si>
  <si>
    <t>br uppsl panna</t>
  </si>
  <si>
    <t>br pa panna</t>
  </si>
  <si>
    <t>Br uppsl</t>
  </si>
  <si>
    <t>Br pa</t>
  </si>
  <si>
    <t>bränsle som används för att producera värme i form av ånga eller hetvatten fördelad till själva pappersproduktionen</t>
  </si>
  <si>
    <t>bränsle som används för att producera värme i form av ånga eller hetvatten fördelad till uppslagning av inköpt massa</t>
  </si>
  <si>
    <t>Förbrukning av bränsle för produktion av sulfat-pumpmassa</t>
  </si>
  <si>
    <t>Förbrukning av bränsle för torkning av sulfat-avsalumassa</t>
  </si>
  <si>
    <t>Förbrukning av bränsle för uppslagning av inköpt massa</t>
  </si>
  <si>
    <t>Förbrukning av bränsle för själva pappersproduktionen</t>
  </si>
  <si>
    <t>br tork sulf dir fos</t>
  </si>
  <si>
    <t>br pa dir fos</t>
  </si>
  <si>
    <t>fossilt bränsle som används för att producera direktvärme vid produktion av sulfat-pumpmassa, t.ex. bränsle till mesaugnen</t>
  </si>
  <si>
    <t>fossilt bränsle som används för att producera direktvärme för torkning av sulfatmassa, t.ex. direkteldade flingtorkar</t>
  </si>
  <si>
    <t>fossilt bränsle som används för att producera direktvärme för själva pappersproduktionen</t>
  </si>
  <si>
    <t>br uppsl övr fos</t>
  </si>
  <si>
    <t>fossilt drivmedel och övrigt bränsle som används i verksamhet som kan hänföras till uppslagning av inköpt massa, t ex truckar för mottagning av inköpt massa</t>
  </si>
  <si>
    <t>br pa övr fos</t>
  </si>
  <si>
    <t>fossilt drivmedel och övrigt bränsle som används i verksamhet som kan hänföras till själva pappersproduktionen, t ex truckar för utlastning av färdig produkt</t>
  </si>
  <si>
    <t>fossilt bränsle som används för att producera värme i form av ånga eller hetvatten fördelad till uppslagning av inköpt massa</t>
  </si>
  <si>
    <t>fossilt bränsle som används för att producera värme i form av ånga eller hetvatten fördelad till själva pappersproduktionen</t>
  </si>
  <si>
    <t>Br uppsl fos</t>
  </si>
  <si>
    <t>Br pa fos</t>
  </si>
  <si>
    <t>Förbrukning av fossilt bränsle för uppslagning av inköpt massa</t>
  </si>
  <si>
    <t>Förbrukning av fossilt bränsle för själva pappersproduktionen</t>
  </si>
  <si>
    <t>Fossilt bränsle som används för direktvärme</t>
  </si>
  <si>
    <t>el använd för värmeproduktion fördelad till torkning av sulfat-avsalumassa</t>
  </si>
  <si>
    <t>el använd för värmeproduktion fördelad till uppslagning av inköpt massa</t>
  </si>
  <si>
    <t>el använd för värmeproduktion fördelad till själva pappersproduktionen</t>
  </si>
  <si>
    <t>Ma pump RCF</t>
  </si>
  <si>
    <t>uppmätt elförbrukning för produktion av sulfat-pumpmassa</t>
  </si>
  <si>
    <t>el pump sulf uppm</t>
  </si>
  <si>
    <t>el pump RCF uppm</t>
  </si>
  <si>
    <t>uppmätt elförbrukning för produktion av RCF-pumpmassa</t>
  </si>
  <si>
    <t xml:space="preserve">del av gemensam elförbrukning (inkl. gemensam balanspost) som kan fördelas till produktion av sulfat-pumpmassa  baserat på rimliga antaganden och uppskattningar </t>
  </si>
  <si>
    <t>el gem förd pump sulf</t>
  </si>
  <si>
    <t xml:space="preserve">el gem förd pump RCF </t>
  </si>
  <si>
    <t xml:space="preserve">del av gemensam elförbrukning (inkl. gemensam balanspost) som kan fördelas till produktion av RCF-pumpmassa  baserat på rimliga antaganden och uppskattningar </t>
  </si>
  <si>
    <t>el pump sulf gem</t>
  </si>
  <si>
    <t>gemensam elförbrukning som fördelats till, eller med utgångspunkt från andel av uppmätt förbrukning hänförts till produktion av sulfat-pumpmassa</t>
  </si>
  <si>
    <t>el pump RCF gem</t>
  </si>
  <si>
    <t>gemensam elförbrukning som fördelats till, eller med utgångspunkt från andel av uppmätt förbrukning hänförts till produktion av RCF-pumpmassa</t>
  </si>
  <si>
    <t>el pump sulf br</t>
  </si>
  <si>
    <t>el pump RCF br</t>
  </si>
  <si>
    <t>el använd för värmeproduktion fördelad till produktion av RCF-pumpmassa</t>
  </si>
  <si>
    <t>El pump RCF</t>
  </si>
  <si>
    <t>q prod</t>
  </si>
  <si>
    <t>Summa egenproducerad värme</t>
  </si>
  <si>
    <t>Q pump RCF</t>
  </si>
  <si>
    <t>uppmätt förbrukning av primärvärme för produktion av sulfat-pumpmassa</t>
  </si>
  <si>
    <t>uppmätt förbrukning av primärvärme för produktion av RCF-pumpmassa</t>
  </si>
  <si>
    <t>q pump RCF uppm</t>
  </si>
  <si>
    <t>q pump sulf uppm</t>
  </si>
  <si>
    <t>q pump sulf→sek</t>
  </si>
  <si>
    <t>sekundärvärme som tillvaratas från produktionen av sulfat-pumpmassa</t>
  </si>
  <si>
    <t>sekundärvärme som tillvaratas från produktionen av RCF-pumpmassa</t>
  </si>
  <si>
    <t>q pump RCF→sek</t>
  </si>
  <si>
    <t>q sek→pump sulf</t>
  </si>
  <si>
    <t>sekundärvärme som används för produktion av sulfat-pumpmassa</t>
  </si>
  <si>
    <t>sekundärvärme som används för produktion av RCF-pumpmassa</t>
  </si>
  <si>
    <t>q sek→pump RCF</t>
  </si>
  <si>
    <t xml:space="preserve">del av gemensam värmeförbrukning (inkl. friblåsning och gemensam balanspost) som kan fördelas till produktion av sulfat-pumpmassa  baserat på rimliga antaganden och uppskattningar </t>
  </si>
  <si>
    <t xml:space="preserve">del av gemensam värmeförbrukning (inkl. friblåsning och gemensam balanspost) som kan fördelas till produktion av RCF-pumpmassa  baserat på rimliga antaganden och uppskattningar </t>
  </si>
  <si>
    <t>del av gemensam värmeförbrukning (inkl. friblåsning och gemensam balanspost)  som kan fördelas till uppslagning av inköpt massa baserat på rimliga antaganden och uppskattningar</t>
  </si>
  <si>
    <t>q gem förd pump sulf</t>
  </si>
  <si>
    <t>q gem förd pump RCF</t>
  </si>
  <si>
    <t>gemensam värmeförbrukning som fördelats till, eller med utgångspunkt från andel av uppmätt förbrukning hänförts till produktion av sulfat-pumpmassa</t>
  </si>
  <si>
    <t>gemensam värmeförbrukning som fördelats till, eller med utgångspunkt från andel av uppmätt förbrukning hänförts till produktion av RCF-pumpmassa</t>
  </si>
  <si>
    <t>q pump sulf gem</t>
  </si>
  <si>
    <t>q pump RCF gem</t>
  </si>
  <si>
    <t xml:space="preserve">el använd för värmeproduktion fördelad till produktion av sulfat-pumpmassa </t>
  </si>
  <si>
    <t>br pump sulf dir</t>
  </si>
  <si>
    <t>br pump RCF panna</t>
  </si>
  <si>
    <t>bränsle som används för att producera värme i form av ånga eller hetvatten fördelad till produktion av RCF-pumpmassa</t>
  </si>
  <si>
    <t>Br pump RCF</t>
  </si>
  <si>
    <t>Förbrukning av bränsle för produktion av RCF-pumpmassa</t>
  </si>
  <si>
    <t xml:space="preserve">drivmedel och övrigt bränsle som används i verksamhet som kan hänföras till produktionen av sulfat-pumpmassa </t>
  </si>
  <si>
    <t xml:space="preserve">drivmedel och övrigt bränsle som används i verksamhet som kan hänföras till produktionen av RCF-pumpmassa </t>
  </si>
  <si>
    <t xml:space="preserve">br pump sulf övr </t>
  </si>
  <si>
    <t xml:space="preserve">br pump RCF övr </t>
  </si>
  <si>
    <t>br rejekt panna</t>
  </si>
  <si>
    <t>svärta och rejekt som uppkommer vid upparbetning av returpapperet och som förbränns i egna pannor</t>
  </si>
  <si>
    <t>br pump RCF panna fos</t>
  </si>
  <si>
    <t>fossilt bränsle som används för att producera värme i form av ånga eller hetvatten fördelad till produktion av RCF-pumpmassa</t>
  </si>
  <si>
    <t>Br pump RCF fos</t>
  </si>
  <si>
    <t>Förbrukning av fossilt bränsle för produktion av RCF-pumpmassa</t>
  </si>
  <si>
    <t xml:space="preserve">fossilt drivmedel och övrigt bränsle som används i verksamhet som kan hänföras till produktionen av sulfat-pumpmassa </t>
  </si>
  <si>
    <t xml:space="preserve">fossilt drivmedel och övrigt bränsle som används i verksamhet som kan hänföras till produktionen av RCF-pumpmassa </t>
  </si>
  <si>
    <t>br pump sulf dir fos</t>
  </si>
  <si>
    <t xml:space="preserve">br pump sulf övr fos </t>
  </si>
  <si>
    <t>br pump RCF övr fos</t>
  </si>
  <si>
    <t>ånga som produceras i annan egen panna, ej ansluten till turbin</t>
  </si>
  <si>
    <t>drivmedel och övrigt bränsle som används i verksamhet som kan hänföras till uppslagning av inköpt massa, t.ex. truckar för lossning av inköpt massa</t>
  </si>
  <si>
    <t>drivmedel och övrigt bränsle som används i verksamhet som kan hänföras till själva pappersproduktionen, t.ex. truckar för utlastning av färdig produkt</t>
  </si>
  <si>
    <t>Br panna yttre brutto</t>
  </si>
  <si>
    <t>SKOGENS SULFAT- OCH RCF-BRUK</t>
  </si>
  <si>
    <t>Avsvärtning</t>
  </si>
  <si>
    <t>br bio eget fast</t>
  </si>
  <si>
    <t>El tot uppm</t>
  </si>
  <si>
    <t>Total uppmätt förbrukning av el vid massabruket</t>
  </si>
  <si>
    <t>Special-produkter</t>
  </si>
  <si>
    <t>F15</t>
  </si>
  <si>
    <t>F16</t>
  </si>
  <si>
    <t>Vedråvara</t>
  </si>
  <si>
    <t>Enhet</t>
  </si>
  <si>
    <t>Sulfatmassa</t>
  </si>
  <si>
    <t>Returmassa</t>
  </si>
  <si>
    <t xml:space="preserve">gemensam elförbrukning som fördelats till, eller med utgångspunkt från andel av uppmätt förbrukning hänförts till torkning av sulfat-pumpmassa till avsalumassa </t>
  </si>
  <si>
    <t>Fyllmedel, bestrykning</t>
  </si>
  <si>
    <t>GJ/ton</t>
  </si>
  <si>
    <t>Massatyp</t>
  </si>
  <si>
    <t>BRÄNSLEFÖRBRUKNING TOTALT</t>
  </si>
  <si>
    <t>GJ/ADt+ton</t>
  </si>
  <si>
    <t>E29</t>
  </si>
  <si>
    <t>Q26</t>
  </si>
  <si>
    <t>B31</t>
  </si>
  <si>
    <t>F25</t>
  </si>
  <si>
    <r>
      <t xml:space="preserve">Ange vilken typ av vedråvara som används
</t>
    </r>
    <r>
      <rPr>
        <i/>
        <sz val="11"/>
        <rFont val="Calibri"/>
        <family val="2"/>
        <scheme val="minor"/>
      </rPr>
      <t>[Infoga rader efter behov (om flera typer av vedråvara)]</t>
    </r>
  </si>
  <si>
    <r>
      <t xml:space="preserve">Ange typ av massa
</t>
    </r>
    <r>
      <rPr>
        <i/>
        <sz val="11"/>
        <rFont val="Calibri"/>
        <family val="2"/>
        <scheme val="minor"/>
      </rPr>
      <t>[Infoga rader efter behov (om flera typer)]</t>
    </r>
  </si>
  <si>
    <r>
      <t xml:space="preserve">Ange vilken/vilka typ(er) av blekning som används, och massaproduktion av respektive typ
</t>
    </r>
    <r>
      <rPr>
        <i/>
        <sz val="11"/>
        <rFont val="Calibri"/>
        <family val="2"/>
        <scheme val="minor"/>
      </rPr>
      <t>[Infoga rader efter behov (om flera typer av blekning)]</t>
    </r>
  </si>
  <si>
    <r>
      <t xml:space="preserve">Ange produktion av avsvärtad respektive ej avsvärtad massa.
</t>
    </r>
    <r>
      <rPr>
        <i/>
        <sz val="11"/>
        <rFont val="Calibri"/>
        <family val="2"/>
        <scheme val="minor"/>
      </rPr>
      <t>[Infoga fler rader om både avsvärtad och ej avsvärtad massa produceras]</t>
    </r>
  </si>
  <si>
    <r>
      <t xml:space="preserve">Ange om fyllmedel eller bestrykningsmedel används (ökar pappersproduktionens vikt)
</t>
    </r>
    <r>
      <rPr>
        <i/>
        <sz val="11"/>
        <rFont val="Calibri"/>
        <family val="2"/>
        <scheme val="minor"/>
      </rPr>
      <t>[Infoga rader efter behov]</t>
    </r>
  </si>
  <si>
    <t>egen produktion av RCF-pumpmassa</t>
  </si>
  <si>
    <t>balanspost för el, avvikelse mellan tillförsel och uppmätt användning (inkluderar t.ex. förluster, ouppmätt förbrukning, mätfel osv)</t>
  </si>
  <si>
    <t>ånga från sodapanna, fastbränslepanna eller annan panna som är ansluten till mottrycksturbin, men där ångan inte går igenom mottrycksturbinen utan direktreduceras</t>
  </si>
  <si>
    <t>ånga ut från turbiner anslutna till sodapanna, fastbränslepanna eller annan panna (efter mottrycksproduktion)</t>
  </si>
  <si>
    <t>balanspost för sekundärvärme, avvikelse mellan summan av värmekällor och värmesänkor (hänförs till gemensamma funktioner)</t>
  </si>
  <si>
    <t>Fasta biobränslen - övergripande balans</t>
  </si>
  <si>
    <t>egengenererat biobränsle (t.ex. bark) som uppkommit utanför ”inre systemgräns” på bruket (dvs i vedhantering/renseri)</t>
  </si>
  <si>
    <t>br uppsl panna fos</t>
  </si>
  <si>
    <t>br pa panna fos</t>
  </si>
  <si>
    <r>
      <t>rejekt som uppkommer vid upparbetning av returpapperet och som säljs till externa förbrukare</t>
    </r>
    <r>
      <rPr>
        <b/>
        <sz val="11"/>
        <rFont val="Calibri"/>
        <family val="2"/>
        <scheme val="minor"/>
      </rPr>
      <t xml:space="preserve"> (används endast vid beräkning med yttre systemgräns)</t>
    </r>
  </si>
  <si>
    <t>br såld rejekt</t>
  </si>
  <si>
    <t>egen produktion av sulfat-pumpmassa (inkl avsalumassa)</t>
  </si>
  <si>
    <t>Barr - rundved</t>
  </si>
  <si>
    <t>%</t>
  </si>
  <si>
    <t>(Ungefärlig mängd eller andel av respektive råvara och fördelning per massatyp (om flera används)]</t>
  </si>
  <si>
    <t>Barr - flis</t>
  </si>
  <si>
    <t>Löv - rundved</t>
  </si>
  <si>
    <t>Pappersmassa</t>
  </si>
  <si>
    <t>TCF-blekt</t>
  </si>
  <si>
    <t>Oblekt</t>
  </si>
  <si>
    <t>Inköpta</t>
  </si>
  <si>
    <t>Avsvärtad</t>
  </si>
  <si>
    <t>Ditionit</t>
  </si>
  <si>
    <t>Förpackningskartong</t>
  </si>
  <si>
    <t>Förpackningspapper</t>
  </si>
  <si>
    <t>Bestrykning</t>
  </si>
  <si>
    <t>Mottryck</t>
  </si>
  <si>
    <t>11, 4</t>
  </si>
  <si>
    <t>Ingen</t>
  </si>
  <si>
    <t>el producerad som mottryckskraft i turbin vid bruket</t>
  </si>
  <si>
    <t>el prod kond</t>
  </si>
  <si>
    <t>el producerad som kondenskraft i turbin vid bruket</t>
  </si>
  <si>
    <t>Kondens</t>
  </si>
  <si>
    <t xml:space="preserve"> - för torkning, per producerad sulfat-avsalumassa</t>
  </si>
  <si>
    <t>Elförbrukning</t>
  </si>
  <si>
    <t xml:space="preserve"> - totalt för bruket per producerad mängd slutprodukt</t>
  </si>
  <si>
    <t xml:space="preserve"> - per producerad mängd sulfat-pumpmassa</t>
  </si>
  <si>
    <t xml:space="preserve"> - totalt per producerad mängd torkad sulfat-avsalumassa</t>
  </si>
  <si>
    <t xml:space="preserve"> - per producerad mängd RCF-pumpmassa</t>
  </si>
  <si>
    <t xml:space="preserve"> - per producerad mängd papper från pumpmassa</t>
  </si>
  <si>
    <t xml:space="preserve"> - per producerad mängd papper från inköpt massa</t>
  </si>
  <si>
    <t xml:space="preserve"> - per producerad mängd RCF-pumpmassa + papper</t>
  </si>
  <si>
    <t>E30</t>
  </si>
  <si>
    <t xml:space="preserve"> - per producerad mängd torkad sulfat-avsalumassa</t>
  </si>
  <si>
    <t>E31</t>
  </si>
  <si>
    <t>E32</t>
  </si>
  <si>
    <t>E33</t>
  </si>
  <si>
    <t>E34</t>
  </si>
  <si>
    <t>E35</t>
  </si>
  <si>
    <t>E36</t>
  </si>
  <si>
    <t>E37</t>
  </si>
  <si>
    <t>E38</t>
  </si>
  <si>
    <t>E39</t>
  </si>
  <si>
    <t>Värmeförbrukning</t>
  </si>
  <si>
    <t xml:space="preserve"> -  totalt för bruket per producerad mängd slutprodukt</t>
  </si>
  <si>
    <t xml:space="preserve"> - per producerad RCF-pumpmassa + papper</t>
  </si>
  <si>
    <t xml:space="preserve"> - för torkning per producerad mängd sulfat-avsalumassa</t>
  </si>
  <si>
    <t>Q27</t>
  </si>
  <si>
    <t>br ext prim värme</t>
  </si>
  <si>
    <t>egengenererad och inköpt bark och annat fast biobränsle</t>
  </si>
  <si>
    <t>η kond</t>
  </si>
  <si>
    <t>verkningsgrad för barkpanna eller annan energipanna som producerar ånga för kondenselproduktion. Om inte verkningsgraden är känd för pannan sätts den schablonmässigt till 85 %.</t>
  </si>
  <si>
    <t>bränsle som använts för att producera kondensel</t>
  </si>
  <si>
    <t>q prim kond</t>
  </si>
  <si>
    <t>ånga som används för produktion av kondensel</t>
  </si>
  <si>
    <t>br såld tall/terp</t>
  </si>
  <si>
    <t>såld tallolja och terpentin</t>
  </si>
  <si>
    <t>Br tot inre netto alt</t>
  </si>
  <si>
    <t>Br pump sulf alt</t>
  </si>
  <si>
    <t>B32</t>
  </si>
  <si>
    <t>B33</t>
  </si>
  <si>
    <t>Br pump RCF alt</t>
  </si>
  <si>
    <t>B34</t>
  </si>
  <si>
    <t>Br tork sulf alt</t>
  </si>
  <si>
    <t>B35</t>
  </si>
  <si>
    <t>B36</t>
  </si>
  <si>
    <t>Br uppsl alt</t>
  </si>
  <si>
    <t>B37</t>
  </si>
  <si>
    <t>Br pa alt</t>
  </si>
  <si>
    <t>B38</t>
  </si>
  <si>
    <t>B39</t>
  </si>
  <si>
    <t>B40</t>
  </si>
  <si>
    <t>Bränsleförbrukning</t>
  </si>
  <si>
    <t>B41</t>
  </si>
  <si>
    <t>B42</t>
  </si>
  <si>
    <t>B43</t>
  </si>
  <si>
    <t>B44</t>
  </si>
  <si>
    <t>B45</t>
  </si>
  <si>
    <t>B46</t>
  </si>
  <si>
    <t>B47</t>
  </si>
  <si>
    <t>B48</t>
  </si>
  <si>
    <t>B49</t>
  </si>
  <si>
    <t>η fos ext</t>
  </si>
  <si>
    <t>br ext prim värme fos</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</si>
  <si>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</si>
  <si>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</si>
  <si>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</si>
  <si>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F26</t>
  </si>
  <si>
    <t>F27</t>
  </si>
  <si>
    <t>F28</t>
  </si>
  <si>
    <t>F29</t>
  </si>
  <si>
    <t>F30</t>
  </si>
  <si>
    <t>F31</t>
  </si>
  <si>
    <t>F32</t>
  </si>
  <si>
    <t>F33</t>
  </si>
  <si>
    <t>F34</t>
  </si>
  <si>
    <t>F35</t>
  </si>
  <si>
    <t>F36</t>
  </si>
  <si>
    <t>F37</t>
  </si>
  <si>
    <t>F38</t>
  </si>
  <si>
    <t>Br tot fos alt</t>
  </si>
  <si>
    <t>Br pump sulf fos alt</t>
  </si>
  <si>
    <t>Br pump RCF fos alt</t>
  </si>
  <si>
    <t>Br tork sulf fos alt</t>
  </si>
  <si>
    <t>Br uppsl fos alt</t>
  </si>
  <si>
    <t>Br pa fos alt</t>
  </si>
  <si>
    <t xml:space="preserve"> - för torkning per producerad mängd torkad sulfat-avsalumassa</t>
  </si>
  <si>
    <t>F39</t>
  </si>
  <si>
    <t>F40</t>
  </si>
  <si>
    <t>Fossil bränsleförbrukning</t>
  </si>
  <si>
    <t xml:space="preserve"> - för torkning per producerad mängd sulfit-avsalumassa</t>
  </si>
  <si>
    <t>alt 0</t>
  </si>
  <si>
    <t>alt 1</t>
  </si>
  <si>
    <t>Versionsdatum för beräkningsmodellen</t>
  </si>
  <si>
    <t>Datum för aktuell beräkning</t>
  </si>
  <si>
    <t>Verksamhetsår som beräkningen avser</t>
  </si>
  <si>
    <t>OBS! Inlagda värden är endast till för att vara exempel på hur man lägger in data, och för kontroll av att formlerna fungerar. Data är mer eller mindre slumpvis valda och representerar inte något verkligt bruk.</t>
  </si>
  <si>
    <t>el prod mot</t>
  </si>
  <si>
    <t>balanspost för primärvärme, avvikelse mellan produktion och uppmätt förbrukning (inkluderar förluster, ouppmätt förbrukning, mätfel osv)</t>
  </si>
  <si>
    <t>Summa bränsle direktvärme, inre systemgräns (beräknad från bränsleslag)</t>
  </si>
  <si>
    <t>Summa bränsle direktvärme, inre systemgräns (beräknad från ändamål)</t>
  </si>
  <si>
    <t>Summa drivmedel och övrigt bränsle (beräknad från bränsleslag)</t>
  </si>
  <si>
    <t>Summa bränsle direktvärme, yttre systemgräns (beräknad från bränsleslag)</t>
  </si>
  <si>
    <t xml:space="preserve"> - SULFAT- och RETURFIBERMASSA + PAPPER</t>
  </si>
  <si>
    <t>INTEGRERAT BRUK</t>
  </si>
  <si>
    <t>Förbrukning av el för</t>
  </si>
  <si>
    <t xml:space="preserve"> - produktion av sulfat-pumpmassa</t>
  </si>
  <si>
    <t xml:space="preserve"> - RCF-pumpmassa</t>
  </si>
  <si>
    <t xml:space="preserve"> - torkning av sulfat-avsalumassa</t>
  </si>
  <si>
    <t xml:space="preserve"> - uppslagning av inköpt massa</t>
  </si>
  <si>
    <t xml:space="preserve"> - produktion av papper från pumpmassa</t>
  </si>
  <si>
    <t>Förbruknikng av värme för</t>
  </si>
  <si>
    <t xml:space="preserve"> - produktion av RCF-pumpmassa</t>
  </si>
  <si>
    <t>Förbrukning av bränsle för</t>
  </si>
  <si>
    <t xml:space="preserve"> - själva pappersproduktionen</t>
  </si>
  <si>
    <t>202X-XX-XX</t>
  </si>
  <si>
    <t>202X</t>
  </si>
  <si>
    <t>bränsle som använts för att producera primärvärme som levereras externt (t.ex. till fjärrvärme)</t>
  </si>
  <si>
    <t>br kondensel</t>
  </si>
  <si>
    <t>Br sålt inre</t>
  </si>
  <si>
    <t>Summa sålt energiprod som uppkommit inom inre systemgräns</t>
  </si>
  <si>
    <t>br sålt övr sulf</t>
  </si>
  <si>
    <t>övriga sålda energiprodukter från sulfatmassaproduktionen ( t ex lignin, metanol), exkl. bark och annat biobränsle som uppkommeri vedhantering/renseri</t>
  </si>
  <si>
    <t>Sålda energiprodukter</t>
  </si>
  <si>
    <t>br kondensel fos</t>
  </si>
  <si>
    <t>Alternativ 0: all elanvändning, inkl el till elpannor</t>
  </si>
  <si>
    <t>Alternativ 1: exkl el som används i elpanna för värmeproduktion</t>
  </si>
  <si>
    <t>Alternativ 0: all bränsleförbrukning, inkl  bränsle till pannor, inre systemgräns</t>
  </si>
  <si>
    <t>Alternativ 1: exkl bränsle till pannor, inre systemgräns</t>
  </si>
  <si>
    <t>Alternativ 0: all fossil bränsleförbrukning, inkl  bränsle till pannor</t>
  </si>
  <si>
    <t>Alternativ 1: exkl bränsle till pannor</t>
  </si>
  <si>
    <t>Alternativ 1: enbart bränsle för annat ändamål än värmeproduktion i pannor</t>
  </si>
  <si>
    <t>Alternativ 2: all användning av bränsle (inkl pannor), men yttre systemgräns (används ej för nyckeltal)</t>
  </si>
  <si>
    <t>Alternativ 1: enbart bränsle för annat ändamål än värmeproduktion i pannor, inre systemgräns</t>
  </si>
  <si>
    <r>
      <rPr>
        <b/>
        <sz val="11"/>
        <color theme="1"/>
        <rFont val="Calibri"/>
        <family val="2"/>
        <scheme val="minor"/>
      </rPr>
      <t xml:space="preserve">Övriga upplysningar </t>
    </r>
    <r>
      <rPr>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</si>
  <si>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produktion av papper och kartong (säljbar produkt, före ev konvertering)</t>
  </si>
  <si>
    <t>q prim såld</t>
  </si>
  <si>
    <t>q sek såld</t>
  </si>
  <si>
    <t>br såld prim värme</t>
  </si>
  <si>
    <t>br såld prim värme fos</t>
  </si>
  <si>
    <t>el ext</t>
  </si>
  <si>
    <t>el som används i egna processer utanför systemgränsen för konventionell massa-/pappersproduktion (t.ex. för papperskonvertering eller för upparbetning av biprodukter som lignin eller metanol)</t>
  </si>
  <si>
    <t>primärvärme som används i egna processer utanför systemgränsen för konventionell massa-/pappersproduktion (t.ex. för papperskonvertering eller för upparbetning av biprodukter som lignin eller metanol)</t>
  </si>
  <si>
    <t>sekundärvärme som används i egna processer utanför systemgränsen för konventionell massa-/pappersproduktion (t.ex. för papperskonvertering eller för upparbetning av biprodukter som lignin eller metanol)</t>
  </si>
  <si>
    <t>verkningsgrad för barkpanna eller annan energipanna som producerar ånga som levereras externt eller används vid bruket, men i anläggning utanför systemgräns för konventionell massa/pappersproduktion. Om inte verkningsgraden för pannan är känd sätts den schablonmässigt till 85 %.</t>
  </si>
  <si>
    <t>bränsle som använts för att producera primärvärme som används vid bruket, men utanför systemgränsen för massa- och pappersproduktionen</t>
  </si>
  <si>
    <t>verkningsgrad för fossileldad energipanna som producerar ånga som levereras externt eller används vid bruket, men i anläggning utanför systemgräns för konventionell massa/pappersproduktion. Om inte verkningsgraden för pannan är känd sätts den schablonmässigt till 90 %. Lämnas tom om fossilt bränsle aldrig används för att producera sådan värme.</t>
  </si>
  <si>
    <t>fossilt bränsle som använts för att producera primärvärme som levereras externt (t.ex. till fjärrvärme)</t>
  </si>
  <si>
    <t>fossilt bränsle som använts för att producera primärvärme som används vid bruket, men utanför systemgränsen för massa- och pappersproduktionen</t>
  </si>
  <si>
    <t>se PM avsnitt 2.4 'Värme' för ytterligare instruktioner om hur producerad och förbrukad ånga ska 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</si>
</sst>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sz val="11"/>
      <color rgb="FF4B876C"/>
      <name val="Calibri"/>
      <family val="2"/>
      <scheme val="minor"/>
    </font>
    <font>
      <b/>
      <sz val="11"/>
      <color theme="3" tint="-0.249977111117893"/>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scheme val="minor"/>
    </font>
    <font>
      <b/>
      <i/>
      <sz val="11"/>
      <name val="Calibri"/>
      <family val="2"/>
      <scheme val="minor"/>
    </font>
    <font>
      <sz val="11"/>
      <color theme="1"/>
      <name val="Calibri"/>
      <family val="2"/>
    </font>
    <font>
      <i/>
      <sz val="11"/>
      <color rgb="FFFF0000"/>
      <name val="Calibri"/>
      <family val="2"/>
      <scheme val="minor"/>
    </font>
    <font>
      <b/>
      <sz val="16"/>
      <color rgb="FFFF0000"/>
      <name val="Calibri"/>
      <family val="2"/>
      <scheme val="minor"/>
    </font>
    <font>
      <b/>
      <sz val="11"/>
      <name val="Calibri"/>
      <family val="2"/>
      <scheme val="minor"/>
    </font>
    <font>
      <i/>
      <sz val="11"/>
      <name val="Calibri"/>
      <family val="2"/>
      <scheme val="minor"/>
    </font>
    <font>
      <b/>
      <sz val="14"/>
      <color rgb="FFFF0000"/>
      <name val="Calibri"/>
      <family val="2"/>
      <scheme val="minor"/>
    </font>
    <font>
      <b/>
      <i/>
      <sz val="14"/>
      <name val="Calibri"/>
      <family val="2"/>
      <scheme val="minor"/>
    </font>
    <font>
      <b/>
      <sz val="16"/>
      <color rgb="FF0070C0"/>
      <name val="Calibri"/>
      <family val="2"/>
      <scheme val="minor"/>
    </font>
    <font>
      <b/>
      <sz val="16"/>
      <name val="Calibri"/>
      <family val="2"/>
      <scheme val="minor"/>
    </font>
    <font>
      <b/>
      <sz val="12"/>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46">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14996795556505021"/>
      </left>
      <right style="thin">
        <color theme="0" tint="-0.14996795556505021"/>
      </right>
      <top/>
      <bottom style="thin">
        <color theme="0" tint="-0.14993743705557422"/>
      </bottom>
      <diagonal/>
    </border>
    <border>
      <left/>
      <right/>
      <top/>
      <bottom style="thin">
        <color theme="0" tint="-0.14993743705557422"/>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top/>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s>
  <cellStyleXfs count="3">
    <xf numFmtId="0" fontId="0" fillId="0" borderId="0"/>
    <xf numFmtId="9" fontId="20" fillId="0" borderId="0" applyFont="0" applyFill="0" applyBorder="0" applyAlignment="0" applyProtection="0"/>
    <xf numFmtId="0" fontId="20" fillId="9" borderId="0" applyNumberFormat="0" applyBorder="0" applyAlignment="0" applyProtection="0"/>
  </cellStyleXfs>
  <cellXfs count="332">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8" fillId="0" borderId="0" xfId="0" applyFont="1"/>
    <xf numFmtId="0" fontId="0" fillId="5" borderId="0" xfId="0" applyFill="1" applyAlignment="1">
      <alignment wrapText="1"/>
    </xf>
    <xf numFmtId="0" fontId="2" fillId="0" borderId="0" xfId="0" applyFont="1" applyAlignment="1">
      <alignment wrapText="1"/>
    </xf>
    <xf numFmtId="0" fontId="5" fillId="0" borderId="0" xfId="0" applyFont="1" applyAlignment="1">
      <alignment wrapText="1"/>
    </xf>
    <xf numFmtId="0" fontId="6" fillId="0" borderId="1" xfId="0" applyFont="1" applyBorder="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0" fontId="7" fillId="0" borderId="0" xfId="0" applyFont="1" applyAlignment="1">
      <alignment wrapText="1"/>
    </xf>
    <xf numFmtId="0" fontId="17" fillId="0" borderId="0" xfId="0" applyFont="1" applyAlignment="1">
      <alignment wrapText="1"/>
    </xf>
    <xf numFmtId="0" fontId="17" fillId="5" borderId="0" xfId="0" applyFont="1" applyFill="1" applyAlignment="1">
      <alignment wrapText="1"/>
    </xf>
    <xf numFmtId="0" fontId="3" fillId="0" borderId="0" xfId="0" applyFont="1" applyAlignment="1">
      <alignment wrapText="1"/>
    </xf>
    <xf numFmtId="3" fontId="10" fillId="0" borderId="0" xfId="0" applyNumberFormat="1" applyFont="1" applyAlignment="1">
      <alignment wrapText="1"/>
    </xf>
    <xf numFmtId="0" fontId="4" fillId="0" borderId="0" xfId="0" applyFont="1" applyAlignment="1">
      <alignment wrapText="1"/>
    </xf>
    <xf numFmtId="2" fontId="1" fillId="6" borderId="3" xfId="0" applyNumberFormat="1" applyFont="1" applyFill="1" applyBorder="1" applyAlignment="1">
      <alignment horizontal="right" wrapText="1"/>
    </xf>
    <xf numFmtId="0" fontId="0" fillId="0" borderId="8" xfId="0" applyBorder="1" applyAlignment="1">
      <alignment wrapText="1"/>
    </xf>
    <xf numFmtId="0" fontId="0" fillId="0" borderId="12" xfId="0" applyBorder="1" applyAlignment="1">
      <alignment wrapText="1"/>
    </xf>
    <xf numFmtId="0" fontId="8" fillId="0" borderId="0" xfId="0" applyFont="1" applyAlignment="1">
      <alignment wrapText="1"/>
    </xf>
    <xf numFmtId="0" fontId="1" fillId="0" borderId="7" xfId="0" applyFont="1" applyBorder="1" applyAlignment="1">
      <alignment wrapText="1"/>
    </xf>
    <xf numFmtId="0" fontId="1" fillId="0" borderId="8" xfId="0" applyFont="1" applyBorder="1" applyAlignment="1">
      <alignment wrapText="1"/>
    </xf>
    <xf numFmtId="0" fontId="0" fillId="0" borderId="0" xfId="0" applyAlignment="1">
      <alignment horizontal="center" wrapText="1"/>
    </xf>
    <xf numFmtId="0" fontId="1" fillId="0" borderId="17" xfId="0" applyFont="1" applyBorder="1" applyAlignment="1">
      <alignment wrapText="1"/>
    </xf>
    <xf numFmtId="0" fontId="1" fillId="0" borderId="18" xfId="0" applyFont="1" applyBorder="1" applyAlignment="1">
      <alignment wrapText="1"/>
    </xf>
    <xf numFmtId="0" fontId="6" fillId="0" borderId="18" xfId="0" applyFont="1" applyBorder="1" applyAlignment="1">
      <alignment wrapText="1"/>
    </xf>
    <xf numFmtId="0" fontId="19" fillId="0" borderId="8" xfId="0" applyFont="1" applyBorder="1" applyAlignment="1">
      <alignment wrapText="1"/>
    </xf>
    <xf numFmtId="0" fontId="0" fillId="0" borderId="0" xfId="0" applyAlignment="1">
      <alignment horizontal="right" wrapText="1"/>
    </xf>
    <xf numFmtId="0" fontId="0" fillId="0" borderId="1" xfId="0" applyBorder="1" applyAlignment="1">
      <alignment horizontal="right" wrapText="1"/>
    </xf>
    <xf numFmtId="0" fontId="8" fillId="0" borderId="1" xfId="0" applyFont="1" applyBorder="1" applyAlignment="1">
      <alignment horizontal="right" wrapText="1"/>
    </xf>
    <xf numFmtId="0" fontId="6" fillId="0" borderId="0" xfId="0" applyFont="1" applyAlignment="1">
      <alignment wrapText="1"/>
    </xf>
    <xf numFmtId="0" fontId="8" fillId="0" borderId="0" xfId="0" applyFont="1" applyAlignment="1">
      <alignment horizontal="right" wrapText="1"/>
    </xf>
    <xf numFmtId="3" fontId="0" fillId="0" borderId="0" xfId="0" applyNumberFormat="1" applyAlignment="1">
      <alignment wrapText="1"/>
    </xf>
    <xf numFmtId="2" fontId="0" fillId="0" borderId="0" xfId="0" applyNumberFormat="1" applyAlignment="1">
      <alignment wrapText="1"/>
    </xf>
    <xf numFmtId="164" fontId="0" fillId="0" borderId="0" xfId="0" applyNumberFormat="1" applyAlignment="1">
      <alignment wrapText="1"/>
    </xf>
    <xf numFmtId="1" fontId="0" fillId="0" borderId="0" xfId="0" applyNumberFormat="1" applyAlignment="1">
      <alignment wrapText="1"/>
    </xf>
    <xf numFmtId="1" fontId="1" fillId="0" borderId="0" xfId="0" applyNumberFormat="1" applyFont="1" applyAlignment="1">
      <alignment wrapText="1"/>
    </xf>
    <xf numFmtId="0" fontId="1" fillId="0" borderId="17" xfId="0" applyFont="1" applyBorder="1" applyAlignment="1">
      <alignment horizontal="center" wrapText="1"/>
    </xf>
    <xf numFmtId="0" fontId="1" fillId="0" borderId="15" xfId="0" applyFont="1" applyBorder="1" applyAlignment="1">
      <alignment horizontal="center" wrapText="1"/>
    </xf>
    <xf numFmtId="0" fontId="0" fillId="0" borderId="10" xfId="0" applyBorder="1" applyAlignment="1">
      <alignment horizontal="center" wrapText="1"/>
    </xf>
    <xf numFmtId="164" fontId="0" fillId="4" borderId="11" xfId="0" applyNumberFormat="1" applyFill="1" applyBorder="1" applyAlignment="1">
      <alignment horizontal="right" wrapText="1"/>
    </xf>
    <xf numFmtId="164" fontId="0" fillId="4" borderId="13" xfId="0" applyNumberFormat="1" applyFill="1" applyBorder="1" applyAlignment="1">
      <alignment horizontal="right" wrapText="1"/>
    </xf>
    <xf numFmtId="164" fontId="0" fillId="4" borderId="9" xfId="0" applyNumberFormat="1" applyFill="1" applyBorder="1" applyAlignment="1">
      <alignment horizontal="right" wrapText="1"/>
    </xf>
    <xf numFmtId="1" fontId="0" fillId="4" borderId="11" xfId="0" applyNumberFormat="1" applyFill="1" applyBorder="1" applyAlignment="1">
      <alignment horizontal="right" wrapText="1"/>
    </xf>
    <xf numFmtId="1" fontId="0" fillId="4" borderId="13" xfId="0" applyNumberFormat="1" applyFill="1" applyBorder="1" applyAlignment="1">
      <alignment horizontal="right" wrapText="1"/>
    </xf>
    <xf numFmtId="0" fontId="0" fillId="0" borderId="7" xfId="0" applyBorder="1" applyAlignment="1">
      <alignment horizontal="center" wrapText="1"/>
    </xf>
    <xf numFmtId="3" fontId="10" fillId="3" borderId="9" xfId="0" applyNumberFormat="1" applyFont="1" applyFill="1" applyBorder="1" applyAlignment="1">
      <alignment horizontal="left" wrapText="1"/>
    </xf>
    <xf numFmtId="3" fontId="10" fillId="3" borderId="11" xfId="0" applyNumberFormat="1" applyFont="1" applyFill="1" applyBorder="1" applyAlignment="1">
      <alignment horizontal="left" wrapText="1"/>
    </xf>
    <xf numFmtId="0" fontId="0" fillId="0" borderId="12" xfId="0" applyBorder="1" applyAlignment="1">
      <alignment horizontal="center" wrapText="1"/>
    </xf>
    <xf numFmtId="3" fontId="0" fillId="4" borderId="13" xfId="0" applyNumberFormat="1" applyFill="1" applyBorder="1" applyAlignment="1">
      <alignment wrapText="1"/>
    </xf>
    <xf numFmtId="3" fontId="8" fillId="4" borderId="13" xfId="0" applyNumberFormat="1" applyFont="1" applyFill="1" applyBorder="1" applyAlignment="1">
      <alignment horizontal="right" wrapText="1"/>
    </xf>
    <xf numFmtId="3" fontId="10" fillId="3" borderId="13" xfId="0" applyNumberFormat="1" applyFont="1" applyFill="1" applyBorder="1" applyAlignment="1">
      <alignment horizontal="left" wrapText="1"/>
    </xf>
    <xf numFmtId="0" fontId="12" fillId="0" borderId="0" xfId="0" applyFont="1" applyAlignment="1">
      <alignment horizontal="left"/>
    </xf>
    <xf numFmtId="3" fontId="8" fillId="4" borderId="11" xfId="0" applyNumberFormat="1" applyFont="1" applyFill="1" applyBorder="1" applyAlignment="1">
      <alignment horizontal="right" wrapText="1"/>
    </xf>
    <xf numFmtId="3" fontId="0" fillId="4" borderId="11" xfId="0" applyNumberFormat="1" applyFill="1" applyBorder="1" applyAlignment="1">
      <alignment wrapText="1"/>
    </xf>
    <xf numFmtId="0" fontId="1" fillId="0" borderId="7" xfId="0" applyFont="1" applyBorder="1" applyAlignment="1">
      <alignment horizontal="center" wrapText="1"/>
    </xf>
    <xf numFmtId="0" fontId="1" fillId="0" borderId="9" xfId="0" applyFont="1" applyBorder="1" applyAlignment="1">
      <alignment horizontal="center" wrapText="1"/>
    </xf>
    <xf numFmtId="0" fontId="18" fillId="0" borderId="1" xfId="0" applyFont="1" applyBorder="1"/>
    <xf numFmtId="3" fontId="13" fillId="3" borderId="11" xfId="0" applyNumberFormat="1" applyFont="1" applyFill="1" applyBorder="1" applyAlignment="1">
      <alignment horizontal="left" wrapText="1"/>
    </xf>
    <xf numFmtId="4" fontId="10" fillId="3" borderId="11" xfId="0" applyNumberFormat="1" applyFont="1" applyFill="1" applyBorder="1" applyAlignment="1">
      <alignment horizontal="left" wrapText="1"/>
    </xf>
    <xf numFmtId="3" fontId="8" fillId="4" borderId="11" xfId="0" applyNumberFormat="1" applyFont="1" applyFill="1" applyBorder="1" applyAlignment="1">
      <alignment wrapText="1"/>
    </xf>
    <xf numFmtId="3" fontId="8" fillId="4" borderId="13" xfId="0" applyNumberFormat="1" applyFont="1" applyFill="1" applyBorder="1" applyAlignment="1">
      <alignment wrapText="1"/>
    </xf>
    <xf numFmtId="3" fontId="0" fillId="4" borderId="11" xfId="0" applyNumberFormat="1" applyFill="1" applyBorder="1" applyAlignment="1">
      <alignment horizontal="right" wrapText="1"/>
    </xf>
    <xf numFmtId="3" fontId="13" fillId="0" borderId="9" xfId="0" applyNumberFormat="1" applyFont="1" applyBorder="1" applyAlignment="1">
      <alignment wrapText="1"/>
    </xf>
    <xf numFmtId="3" fontId="8" fillId="2" borderId="13" xfId="0" applyNumberFormat="1" applyFont="1" applyFill="1" applyBorder="1" applyAlignment="1">
      <alignment wrapText="1"/>
    </xf>
    <xf numFmtId="3" fontId="8" fillId="0" borderId="9" xfId="0" applyNumberFormat="1" applyFont="1" applyBorder="1" applyAlignment="1">
      <alignment wrapText="1"/>
    </xf>
    <xf numFmtId="3" fontId="8" fillId="7" borderId="11" xfId="0" applyNumberFormat="1" applyFont="1" applyFill="1" applyBorder="1" applyAlignment="1">
      <alignment horizontal="left" wrapText="1"/>
    </xf>
    <xf numFmtId="4" fontId="13" fillId="3" borderId="11" xfId="0" applyNumberFormat="1" applyFont="1" applyFill="1" applyBorder="1" applyAlignment="1">
      <alignment horizontal="left" wrapText="1"/>
    </xf>
    <xf numFmtId="3" fontId="0" fillId="0" borderId="9" xfId="0" applyNumberFormat="1" applyBorder="1" applyAlignment="1">
      <alignment horizontal="right" wrapText="1"/>
    </xf>
    <xf numFmtId="0" fontId="0" fillId="0" borderId="20" xfId="0" applyBorder="1"/>
    <xf numFmtId="0" fontId="0" fillId="0" borderId="19" xfId="0" applyBorder="1" applyAlignment="1">
      <alignment wrapText="1"/>
    </xf>
    <xf numFmtId="0" fontId="12" fillId="8" borderId="14" xfId="0" applyFont="1" applyFill="1" applyBorder="1"/>
    <xf numFmtId="0" fontId="0" fillId="0" borderId="0" xfId="0" applyAlignment="1">
      <alignment horizontal="left" wrapText="1"/>
    </xf>
    <xf numFmtId="0" fontId="0" fillId="0" borderId="17" xfId="0" applyBorder="1" applyAlignment="1">
      <alignment horizontal="center" wrapText="1"/>
    </xf>
    <xf numFmtId="0" fontId="0" fillId="0" borderId="18" xfId="0" applyBorder="1" applyAlignment="1">
      <alignment horizontal="right" wrapText="1"/>
    </xf>
    <xf numFmtId="3" fontId="0" fillId="4" borderId="15" xfId="0" applyNumberFormat="1" applyFill="1" applyBorder="1" applyAlignment="1">
      <alignment wrapText="1"/>
    </xf>
    <xf numFmtId="0" fontId="1" fillId="0" borderId="0" xfId="0" applyFont="1" applyAlignment="1">
      <alignment horizontal="center" wrapText="1"/>
    </xf>
    <xf numFmtId="0" fontId="1" fillId="0" borderId="0" xfId="0" applyFont="1" applyAlignment="1">
      <alignment horizontal="left" wrapText="1"/>
    </xf>
    <xf numFmtId="4" fontId="8" fillId="4" borderId="11" xfId="0" applyNumberFormat="1" applyFont="1" applyFill="1" applyBorder="1" applyAlignment="1">
      <alignment horizontal="right" wrapText="1"/>
    </xf>
    <xf numFmtId="0" fontId="8" fillId="0" borderId="0" xfId="0" applyFont="1" applyAlignment="1">
      <alignment horizontal="left" wrapText="1"/>
    </xf>
    <xf numFmtId="0" fontId="0" fillId="0" borderId="1" xfId="0" applyBorder="1" applyAlignment="1">
      <alignment horizontal="center" wrapText="1"/>
    </xf>
    <xf numFmtId="0" fontId="0" fillId="2" borderId="1" xfId="0" applyFill="1" applyBorder="1" applyAlignment="1">
      <alignment horizontal="right" wrapText="1"/>
    </xf>
    <xf numFmtId="3" fontId="8" fillId="2" borderId="13" xfId="0" applyNumberFormat="1" applyFont="1" applyFill="1" applyBorder="1" applyAlignment="1">
      <alignment horizontal="right" wrapText="1"/>
    </xf>
    <xf numFmtId="0" fontId="21" fillId="0" borderId="8" xfId="0" applyFont="1" applyBorder="1" applyAlignment="1">
      <alignment wrapText="1"/>
    </xf>
    <xf numFmtId="0" fontId="0" fillId="0" borderId="1" xfId="0" applyBorder="1" applyAlignment="1">
      <alignment horizontal="left" wrapText="1"/>
    </xf>
    <xf numFmtId="0" fontId="0" fillId="0" borderId="18" xfId="0" applyBorder="1" applyAlignment="1">
      <alignment horizontal="left" wrapText="1"/>
    </xf>
    <xf numFmtId="3" fontId="8" fillId="4" borderId="15" xfId="0" applyNumberFormat="1" applyFont="1" applyFill="1" applyBorder="1" applyAlignment="1">
      <alignment wrapText="1"/>
    </xf>
    <xf numFmtId="0" fontId="1" fillId="0" borderId="0" xfId="0" applyFont="1"/>
    <xf numFmtId="0" fontId="21" fillId="0" borderId="8" xfId="0" applyFont="1" applyBorder="1" applyAlignment="1">
      <alignment horizontal="left" wrapText="1"/>
    </xf>
    <xf numFmtId="0" fontId="1" fillId="0" borderId="18" xfId="0" applyFont="1" applyBorder="1" applyAlignment="1">
      <alignment horizontal="center" wrapText="1"/>
    </xf>
    <xf numFmtId="0" fontId="0" fillId="0" borderId="11" xfId="0" applyBorder="1" applyAlignment="1">
      <alignment wrapText="1"/>
    </xf>
    <xf numFmtId="9" fontId="1" fillId="0" borderId="0" xfId="1" applyFont="1" applyFill="1" applyBorder="1" applyAlignment="1">
      <alignment wrapText="1"/>
    </xf>
    <xf numFmtId="164" fontId="0" fillId="0" borderId="8" xfId="0" applyNumberFormat="1" applyBorder="1" applyAlignment="1">
      <alignment horizontal="right" wrapText="1"/>
    </xf>
    <xf numFmtId="165" fontId="0" fillId="4" borderId="11" xfId="0" applyNumberFormat="1" applyFill="1" applyBorder="1" applyAlignment="1">
      <alignment wrapText="1"/>
    </xf>
    <xf numFmtId="3" fontId="8" fillId="0" borderId="0" xfId="0" applyNumberFormat="1" applyFont="1" applyAlignment="1">
      <alignment wrapText="1"/>
    </xf>
    <xf numFmtId="0" fontId="8" fillId="0" borderId="0" xfId="0" applyFont="1" applyAlignment="1">
      <alignment horizontal="center" wrapText="1"/>
    </xf>
    <xf numFmtId="0" fontId="9" fillId="0" borderId="0" xfId="0" applyFont="1" applyAlignment="1">
      <alignment horizontal="left" wrapText="1"/>
    </xf>
    <xf numFmtId="0" fontId="0" fillId="0" borderId="22" xfId="0" applyBorder="1" applyAlignment="1">
      <alignment wrapText="1"/>
    </xf>
    <xf numFmtId="0" fontId="1" fillId="9" borderId="23" xfId="2" applyFont="1" applyBorder="1"/>
    <xf numFmtId="0" fontId="1" fillId="0" borderId="0" xfId="0" quotePrefix="1" applyFont="1"/>
    <xf numFmtId="3" fontId="10" fillId="3" borderId="23" xfId="0" applyNumberFormat="1" applyFont="1" applyFill="1" applyBorder="1" applyAlignment="1">
      <alignment horizontal="left" wrapText="1"/>
    </xf>
    <xf numFmtId="0" fontId="0" fillId="0" borderId="22" xfId="0" quotePrefix="1" applyBorder="1" applyAlignment="1">
      <alignment wrapText="1"/>
    </xf>
    <xf numFmtId="0" fontId="3" fillId="0" borderId="11" xfId="0" applyFont="1" applyBorder="1"/>
    <xf numFmtId="0" fontId="0" fillId="0" borderId="11" xfId="0" applyBorder="1"/>
    <xf numFmtId="0" fontId="0" fillId="0" borderId="25" xfId="0" applyBorder="1"/>
    <xf numFmtId="0" fontId="0" fillId="0" borderId="26" xfId="0" applyBorder="1" applyAlignment="1">
      <alignment wrapText="1"/>
    </xf>
    <xf numFmtId="0" fontId="12" fillId="8" borderId="14" xfId="0" applyFont="1" applyFill="1" applyBorder="1" applyAlignment="1">
      <alignment horizontal="left"/>
    </xf>
    <xf numFmtId="0" fontId="9" fillId="0" borderId="0" xfId="0" applyFont="1" applyAlignment="1">
      <alignment wrapText="1"/>
    </xf>
    <xf numFmtId="0" fontId="13" fillId="3" borderId="11" xfId="0" applyFont="1" applyFill="1" applyBorder="1" applyAlignment="1">
      <alignment horizontal="left" wrapText="1"/>
    </xf>
    <xf numFmtId="0" fontId="22" fillId="0" borderId="1" xfId="0" applyFont="1" applyBorder="1" applyAlignment="1">
      <alignment wrapText="1"/>
    </xf>
    <xf numFmtId="0" fontId="22" fillId="0" borderId="0" xfId="0" applyFont="1" applyAlignment="1">
      <alignment wrapText="1"/>
    </xf>
    <xf numFmtId="1" fontId="0" fillId="4" borderId="9" xfId="0" applyNumberFormat="1" applyFill="1" applyBorder="1" applyAlignment="1">
      <alignment horizontal="right" wrapText="1"/>
    </xf>
    <xf numFmtId="0" fontId="0" fillId="0" borderId="8" xfId="0" applyBorder="1" applyAlignment="1">
      <alignment horizontal="left" wrapText="1"/>
    </xf>
    <xf numFmtId="164" fontId="0" fillId="4" borderId="11" xfId="0" applyNumberFormat="1" applyFill="1" applyBorder="1" applyAlignment="1">
      <alignment wrapText="1"/>
    </xf>
    <xf numFmtId="1" fontId="0" fillId="4" borderId="11" xfId="0" applyNumberFormat="1" applyFill="1" applyBorder="1" applyAlignment="1">
      <alignment wrapText="1"/>
    </xf>
    <xf numFmtId="165" fontId="0" fillId="4" borderId="11" xfId="0" applyNumberFormat="1" applyFill="1" applyBorder="1" applyAlignment="1">
      <alignment horizontal="right" wrapText="1"/>
    </xf>
    <xf numFmtId="165" fontId="0" fillId="4" borderId="13" xfId="0" applyNumberFormat="1" applyFill="1" applyBorder="1" applyAlignment="1">
      <alignment horizontal="right" wrapText="1"/>
    </xf>
    <xf numFmtId="0" fontId="1" fillId="9" borderId="22" xfId="2" applyFont="1" applyBorder="1"/>
    <xf numFmtId="3" fontId="10" fillId="3" borderId="21" xfId="0" applyNumberFormat="1" applyFont="1" applyFill="1" applyBorder="1" applyAlignment="1">
      <alignment horizontal="left" wrapText="1"/>
    </xf>
    <xf numFmtId="0" fontId="1" fillId="0" borderId="11" xfId="0" applyFont="1" applyBorder="1" applyAlignment="1">
      <alignment horizontal="center" wrapText="1"/>
    </xf>
    <xf numFmtId="49" fontId="1" fillId="3" borderId="16" xfId="0" applyNumberFormat="1" applyFont="1" applyFill="1" applyBorder="1"/>
    <xf numFmtId="0" fontId="1" fillId="4" borderId="2" xfId="0" applyFont="1" applyFill="1" applyBorder="1"/>
    <xf numFmtId="0" fontId="1" fillId="4" borderId="3" xfId="0" applyFont="1" applyFill="1" applyBorder="1"/>
    <xf numFmtId="0" fontId="1" fillId="6" borderId="2" xfId="0" applyFont="1" applyFill="1" applyBorder="1"/>
    <xf numFmtId="0" fontId="1" fillId="6" borderId="3" xfId="0" applyFont="1" applyFill="1" applyBorder="1"/>
    <xf numFmtId="0" fontId="1" fillId="2" borderId="2" xfId="0" applyFont="1" applyFill="1" applyBorder="1"/>
    <xf numFmtId="0" fontId="1" fillId="2" borderId="3" xfId="0" applyFont="1" applyFill="1" applyBorder="1"/>
    <xf numFmtId="0" fontId="1" fillId="7" borderId="2" xfId="0" applyFont="1" applyFill="1" applyBorder="1"/>
    <xf numFmtId="0" fontId="1" fillId="7" borderId="3" xfId="0" applyFont="1" applyFill="1" applyBorder="1"/>
    <xf numFmtId="0" fontId="1" fillId="9" borderId="4" xfId="2" applyFont="1" applyBorder="1"/>
    <xf numFmtId="0" fontId="1" fillId="9" borderId="6" xfId="2" applyFont="1" applyBorder="1"/>
    <xf numFmtId="3" fontId="10" fillId="3" borderId="29" xfId="0" applyNumberFormat="1" applyFont="1" applyFill="1" applyBorder="1" applyAlignment="1">
      <alignment horizontal="left" wrapText="1"/>
    </xf>
    <xf numFmtId="3" fontId="13" fillId="3" borderId="13" xfId="0" applyNumberFormat="1" applyFont="1" applyFill="1" applyBorder="1" applyAlignment="1">
      <alignment horizontal="left" wrapText="1"/>
    </xf>
    <xf numFmtId="0" fontId="3" fillId="0" borderId="11" xfId="0" applyFont="1" applyBorder="1" applyAlignment="1">
      <alignment horizontal="left" wrapText="1"/>
    </xf>
    <xf numFmtId="0" fontId="0" fillId="0" borderId="32" xfId="0" applyBorder="1" applyAlignment="1">
      <alignment wrapText="1"/>
    </xf>
    <xf numFmtId="0" fontId="1" fillId="0" borderId="1" xfId="0" applyFont="1" applyBorder="1"/>
    <xf numFmtId="0" fontId="9" fillId="0" borderId="31" xfId="0" applyFont="1" applyBorder="1"/>
    <xf numFmtId="0" fontId="9" fillId="0" borderId="32" xfId="0" applyFont="1" applyBorder="1" applyAlignment="1">
      <alignment wrapText="1"/>
    </xf>
    <xf numFmtId="0" fontId="1" fillId="0" borderId="1" xfId="0" quotePrefix="1" applyFont="1" applyBorder="1"/>
    <xf numFmtId="0" fontId="9" fillId="0" borderId="13" xfId="0" applyFont="1" applyBorder="1" applyAlignment="1">
      <alignment wrapText="1"/>
    </xf>
    <xf numFmtId="0" fontId="3" fillId="0" borderId="13" xfId="0" applyFont="1" applyBorder="1"/>
    <xf numFmtId="0" fontId="0" fillId="0" borderId="13" xfId="0" applyBorder="1"/>
    <xf numFmtId="0" fontId="1" fillId="9" borderId="24" xfId="2" applyFont="1" applyBorder="1"/>
    <xf numFmtId="3" fontId="10" fillId="3" borderId="24" xfId="0" applyNumberFormat="1" applyFont="1" applyFill="1" applyBorder="1" applyAlignment="1">
      <alignment horizontal="left" wrapText="1"/>
    </xf>
    <xf numFmtId="3" fontId="10" fillId="0" borderId="32" xfId="0" applyNumberFormat="1" applyFont="1" applyBorder="1" applyAlignment="1">
      <alignment horizontal="left" wrapText="1"/>
    </xf>
    <xf numFmtId="0" fontId="1" fillId="0" borderId="32" xfId="2" applyFont="1" applyFill="1" applyBorder="1"/>
    <xf numFmtId="0" fontId="1" fillId="0" borderId="1" xfId="2" applyFont="1" applyFill="1" applyBorder="1"/>
    <xf numFmtId="3" fontId="10" fillId="0" borderId="22" xfId="0" applyNumberFormat="1" applyFont="1" applyBorder="1" applyAlignment="1">
      <alignment horizontal="left" wrapText="1"/>
    </xf>
    <xf numFmtId="3" fontId="10" fillId="0" borderId="24" xfId="0" applyNumberFormat="1" applyFont="1" applyBorder="1" applyAlignment="1">
      <alignment horizontal="left" wrapText="1"/>
    </xf>
    <xf numFmtId="0" fontId="17" fillId="0" borderId="0" xfId="0" applyFont="1"/>
    <xf numFmtId="0" fontId="24" fillId="0" borderId="0" xfId="0" applyFont="1"/>
    <xf numFmtId="0" fontId="17" fillId="0" borderId="32" xfId="0" quotePrefix="1" applyFont="1" applyBorder="1" applyAlignment="1">
      <alignment wrapText="1"/>
    </xf>
    <xf numFmtId="0" fontId="23" fillId="0" borderId="13" xfId="0" applyFont="1" applyBorder="1"/>
    <xf numFmtId="0" fontId="9" fillId="0" borderId="21" xfId="2" applyFont="1" applyFill="1" applyBorder="1"/>
    <xf numFmtId="0" fontId="17" fillId="0" borderId="22" xfId="0" quotePrefix="1" applyFont="1" applyBorder="1" applyAlignment="1">
      <alignment wrapText="1"/>
    </xf>
    <xf numFmtId="3" fontId="17" fillId="0" borderId="21" xfId="0" applyNumberFormat="1" applyFont="1" applyBorder="1" applyAlignment="1">
      <alignment horizontal="left" wrapText="1"/>
    </xf>
    <xf numFmtId="0" fontId="9" fillId="0" borderId="0" xfId="0" applyFont="1"/>
    <xf numFmtId="0" fontId="23" fillId="0" borderId="11" xfId="0" applyFont="1" applyBorder="1"/>
    <xf numFmtId="3" fontId="13" fillId="3" borderId="31" xfId="0" applyNumberFormat="1" applyFont="1" applyFill="1" applyBorder="1" applyAlignment="1">
      <alignment horizontal="left" wrapText="1"/>
    </xf>
    <xf numFmtId="3" fontId="10" fillId="0" borderId="21" xfId="0" applyNumberFormat="1" applyFont="1" applyBorder="1" applyAlignment="1">
      <alignment horizontal="left" wrapText="1"/>
    </xf>
    <xf numFmtId="0" fontId="8" fillId="0" borderId="1" xfId="0" applyFont="1" applyBorder="1" applyAlignment="1">
      <alignment wrapText="1"/>
    </xf>
    <xf numFmtId="0" fontId="1" fillId="0" borderId="24" xfId="0" applyFont="1" applyBorder="1"/>
    <xf numFmtId="0" fontId="25" fillId="0" borderId="0" xfId="0" applyFont="1" applyAlignment="1">
      <alignment horizontal="left" wrapText="1"/>
    </xf>
    <xf numFmtId="0" fontId="25" fillId="0" borderId="30" xfId="0" applyFont="1" applyBorder="1"/>
    <xf numFmtId="0" fontId="8" fillId="0" borderId="11" xfId="0" applyFont="1" applyBorder="1" applyAlignment="1">
      <alignment wrapText="1"/>
    </xf>
    <xf numFmtId="0" fontId="25" fillId="0" borderId="0" xfId="0" applyFont="1"/>
    <xf numFmtId="0" fontId="25" fillId="0" borderId="1" xfId="0" quotePrefix="1" applyFont="1" applyBorder="1"/>
    <xf numFmtId="0" fontId="8" fillId="0" borderId="13" xfId="0" applyFont="1" applyBorder="1" applyAlignment="1">
      <alignment wrapText="1"/>
    </xf>
    <xf numFmtId="0" fontId="25" fillId="9" borderId="22" xfId="2" applyFont="1" applyBorder="1"/>
    <xf numFmtId="0" fontId="25" fillId="0" borderId="0" xfId="0" applyFont="1" applyAlignment="1">
      <alignment wrapText="1"/>
    </xf>
    <xf numFmtId="0" fontId="25" fillId="9" borderId="31" xfId="2" applyFont="1" applyBorder="1"/>
    <xf numFmtId="0" fontId="9" fillId="0" borderId="24" xfId="0" applyFont="1" applyBorder="1"/>
    <xf numFmtId="0" fontId="9" fillId="0" borderId="22" xfId="0" applyFont="1" applyBorder="1" applyAlignment="1">
      <alignment wrapText="1"/>
    </xf>
    <xf numFmtId="0" fontId="9" fillId="0" borderId="11" xfId="0" applyFont="1" applyBorder="1" applyAlignment="1">
      <alignment wrapText="1"/>
    </xf>
    <xf numFmtId="0" fontId="25" fillId="0" borderId="0" xfId="0" quotePrefix="1" applyFont="1"/>
    <xf numFmtId="0" fontId="25" fillId="0" borderId="1" xfId="0" applyFont="1" applyBorder="1"/>
    <xf numFmtId="0" fontId="25" fillId="9" borderId="23" xfId="2" applyFont="1" applyBorder="1"/>
    <xf numFmtId="0" fontId="8" fillId="0" borderId="18" xfId="0" applyFont="1" applyBorder="1" applyAlignment="1">
      <alignment horizontal="right" wrapText="1"/>
    </xf>
    <xf numFmtId="9" fontId="25" fillId="6" borderId="5" xfId="1" applyFont="1" applyFill="1" applyBorder="1" applyAlignment="1">
      <alignment wrapText="1"/>
    </xf>
    <xf numFmtId="2" fontId="25" fillId="6" borderId="6" xfId="0" applyNumberFormat="1" applyFont="1" applyFill="1" applyBorder="1" applyAlignment="1">
      <alignment wrapText="1"/>
    </xf>
    <xf numFmtId="2" fontId="25" fillId="6" borderId="3" xfId="0" applyNumberFormat="1" applyFont="1" applyFill="1" applyBorder="1" applyAlignment="1">
      <alignment wrapText="1"/>
    </xf>
    <xf numFmtId="0" fontId="8" fillId="0" borderId="1" xfId="0" applyFont="1" applyBorder="1" applyAlignment="1">
      <alignment horizontal="left" wrapText="1"/>
    </xf>
    <xf numFmtId="0" fontId="26" fillId="0" borderId="11" xfId="0" applyFont="1" applyBorder="1" applyAlignment="1">
      <alignment horizontal="left" wrapText="1"/>
    </xf>
    <xf numFmtId="0" fontId="1" fillId="0" borderId="33" xfId="0" applyFont="1" applyBorder="1" applyAlignment="1">
      <alignment horizontal="center" wrapText="1"/>
    </xf>
    <xf numFmtId="0" fontId="9" fillId="0" borderId="0" xfId="2" applyFont="1" applyFill="1" applyBorder="1"/>
    <xf numFmtId="0" fontId="14" fillId="3" borderId="0" xfId="0" quotePrefix="1" applyFont="1" applyFill="1" applyAlignment="1">
      <alignment horizontal="left"/>
    </xf>
    <xf numFmtId="0" fontId="1" fillId="0" borderId="0" xfId="0" quotePrefix="1" applyFont="1" applyAlignment="1">
      <alignment horizontal="left"/>
    </xf>
    <xf numFmtId="3" fontId="13" fillId="3" borderId="0" xfId="0" applyNumberFormat="1" applyFont="1" applyFill="1" applyAlignment="1">
      <alignment horizontal="left" wrapText="1"/>
    </xf>
    <xf numFmtId="0" fontId="1" fillId="0" borderId="24" xfId="0" applyFont="1" applyBorder="1" applyAlignment="1">
      <alignment horizontal="left"/>
    </xf>
    <xf numFmtId="0" fontId="25" fillId="0" borderId="0" xfId="0" applyFont="1" applyAlignment="1">
      <alignment horizontal="left"/>
    </xf>
    <xf numFmtId="0" fontId="25" fillId="0" borderId="1" xfId="0" quotePrefix="1" applyFont="1" applyBorder="1" applyAlignment="1">
      <alignment horizontal="left"/>
    </xf>
    <xf numFmtId="0" fontId="25" fillId="0" borderId="0" xfId="0" quotePrefix="1" applyFont="1" applyAlignment="1">
      <alignment horizontal="left"/>
    </xf>
    <xf numFmtId="0" fontId="1" fillId="0" borderId="0" xfId="0" applyFont="1" applyAlignment="1">
      <alignment horizontal="left"/>
    </xf>
    <xf numFmtId="0" fontId="9" fillId="5" borderId="0" xfId="0" applyFont="1" applyFill="1" applyAlignment="1">
      <alignment horizontal="center" wrapText="1"/>
    </xf>
    <xf numFmtId="0" fontId="9" fillId="5" borderId="0" xfId="0" applyFont="1" applyFill="1" applyAlignment="1">
      <alignment wrapText="1"/>
    </xf>
    <xf numFmtId="9" fontId="9" fillId="5" borderId="0" xfId="1" applyFont="1" applyFill="1" applyBorder="1" applyAlignment="1">
      <alignment wrapText="1"/>
    </xf>
    <xf numFmtId="0" fontId="17" fillId="5" borderId="0" xfId="0" quotePrefix="1" applyFont="1" applyFill="1" applyAlignment="1">
      <alignment wrapText="1"/>
    </xf>
    <xf numFmtId="0" fontId="17" fillId="0" borderId="0" xfId="0" applyFont="1" applyAlignment="1">
      <alignment vertical="center"/>
    </xf>
    <xf numFmtId="2" fontId="25" fillId="6" borderId="0" xfId="1" applyNumberFormat="1" applyFont="1" applyFill="1" applyBorder="1" applyAlignment="1">
      <alignment wrapText="1"/>
    </xf>
    <xf numFmtId="0" fontId="1" fillId="0" borderId="3" xfId="0" applyFont="1" applyBorder="1" applyAlignment="1">
      <alignment horizontal="center" wrapText="1"/>
    </xf>
    <xf numFmtId="0" fontId="25" fillId="0" borderId="4" xfId="0" applyFont="1" applyBorder="1" applyAlignment="1">
      <alignment wrapText="1"/>
    </xf>
    <xf numFmtId="0" fontId="12" fillId="0" borderId="37" xfId="0" applyFont="1" applyBorder="1" applyAlignment="1">
      <alignment wrapText="1"/>
    </xf>
    <xf numFmtId="0" fontId="0" fillId="0" borderId="34" xfId="0" applyBorder="1" applyAlignment="1">
      <alignment wrapText="1"/>
    </xf>
    <xf numFmtId="0" fontId="0" fillId="0" borderId="38" xfId="0" applyBorder="1" applyAlignment="1">
      <alignment wrapText="1"/>
    </xf>
    <xf numFmtId="0" fontId="25" fillId="0" borderId="1" xfId="0" applyFont="1" applyBorder="1" applyAlignment="1">
      <alignment wrapText="1"/>
    </xf>
    <xf numFmtId="0" fontId="1" fillId="0" borderId="1" xfId="0" applyFont="1" applyBorder="1" applyAlignment="1">
      <alignment horizontal="center" wrapText="1"/>
    </xf>
    <xf numFmtId="0" fontId="1" fillId="0" borderId="36" xfId="0" applyFont="1" applyBorder="1" applyAlignment="1">
      <alignment wrapText="1"/>
    </xf>
    <xf numFmtId="0" fontId="12" fillId="0" borderId="37" xfId="0" applyFont="1" applyBorder="1"/>
    <xf numFmtId="0" fontId="1" fillId="0" borderId="34" xfId="0" applyFont="1" applyBorder="1"/>
    <xf numFmtId="0" fontId="1" fillId="0" borderId="34" xfId="0" applyFont="1" applyBorder="1" applyAlignment="1">
      <alignment wrapText="1"/>
    </xf>
    <xf numFmtId="0" fontId="1" fillId="0" borderId="38" xfId="0" applyFont="1" applyBorder="1" applyAlignment="1">
      <alignment wrapText="1"/>
    </xf>
    <xf numFmtId="0" fontId="1" fillId="0" borderId="40" xfId="0" applyFont="1" applyBorder="1" applyAlignment="1">
      <alignment wrapText="1"/>
    </xf>
    <xf numFmtId="0" fontId="25" fillId="0" borderId="41" xfId="0" applyFont="1" applyBorder="1" applyAlignment="1">
      <alignment wrapText="1"/>
    </xf>
    <xf numFmtId="0" fontId="1" fillId="0" borderId="43" xfId="0" applyFont="1" applyBorder="1" applyAlignment="1">
      <alignment wrapText="1"/>
    </xf>
    <xf numFmtId="0" fontId="25" fillId="0" borderId="40" xfId="0" applyFont="1" applyBorder="1" applyAlignment="1">
      <alignment wrapText="1"/>
    </xf>
    <xf numFmtId="0" fontId="25" fillId="0" borderId="13" xfId="0" applyFont="1" applyBorder="1" applyAlignment="1">
      <alignment wrapText="1"/>
    </xf>
    <xf numFmtId="0" fontId="25" fillId="0" borderId="11" xfId="0" applyFont="1" applyBorder="1" applyAlignment="1">
      <alignment wrapText="1"/>
    </xf>
    <xf numFmtId="0" fontId="1" fillId="0" borderId="13" xfId="0" applyFont="1" applyBorder="1" applyAlignment="1">
      <alignment wrapText="1"/>
    </xf>
    <xf numFmtId="2" fontId="1" fillId="6" borderId="11" xfId="0" applyNumberFormat="1" applyFont="1" applyFill="1" applyBorder="1" applyAlignment="1">
      <alignment horizontal="right" wrapText="1"/>
    </xf>
    <xf numFmtId="164" fontId="25" fillId="6" borderId="11" xfId="0" applyNumberFormat="1" applyFont="1" applyFill="1" applyBorder="1" applyAlignment="1">
      <alignment wrapText="1"/>
    </xf>
    <xf numFmtId="2" fontId="25" fillId="6" borderId="44" xfId="0" applyNumberFormat="1" applyFont="1" applyFill="1" applyBorder="1" applyAlignment="1">
      <alignment wrapText="1"/>
    </xf>
    <xf numFmtId="0" fontId="0" fillId="0" borderId="10" xfId="0" applyBorder="1" applyAlignment="1">
      <alignment wrapText="1"/>
    </xf>
    <xf numFmtId="0" fontId="25" fillId="0" borderId="0" xfId="0" applyFont="1" applyAlignment="1">
      <alignment horizontal="center" wrapText="1"/>
    </xf>
    <xf numFmtId="0" fontId="25" fillId="0" borderId="5" xfId="0" applyFont="1" applyBorder="1" applyAlignment="1">
      <alignment horizontal="center" wrapText="1"/>
    </xf>
    <xf numFmtId="0" fontId="0" fillId="0" borderId="42" xfId="0" applyBorder="1" applyAlignment="1">
      <alignment wrapText="1"/>
    </xf>
    <xf numFmtId="0" fontId="17" fillId="0" borderId="9" xfId="0" applyFont="1" applyBorder="1" applyAlignment="1">
      <alignment vertical="center"/>
    </xf>
    <xf numFmtId="0" fontId="25" fillId="0" borderId="44" xfId="0" applyFont="1" applyBorder="1" applyAlignment="1">
      <alignment wrapText="1"/>
    </xf>
    <xf numFmtId="2" fontId="25" fillId="6" borderId="11" xfId="0" applyNumberFormat="1" applyFont="1" applyFill="1" applyBorder="1" applyAlignment="1">
      <alignment wrapText="1"/>
    </xf>
    <xf numFmtId="14" fontId="27" fillId="0" borderId="0" xfId="0" applyNumberFormat="1" applyFont="1"/>
    <xf numFmtId="49" fontId="1" fillId="3" borderId="45" xfId="0" applyNumberFormat="1" applyFont="1" applyFill="1" applyBorder="1"/>
    <xf numFmtId="0" fontId="1" fillId="0" borderId="0" xfId="2" applyFont="1" applyFill="1" applyBorder="1"/>
    <xf numFmtId="0" fontId="12" fillId="0" borderId="7" xfId="0" applyFont="1" applyBorder="1" applyAlignment="1">
      <alignment horizontal="right" wrapText="1"/>
    </xf>
    <xf numFmtId="14" fontId="29" fillId="3" borderId="9" xfId="0" applyNumberFormat="1" applyFont="1" applyFill="1" applyBorder="1" applyAlignment="1">
      <alignment horizontal="right"/>
    </xf>
    <xf numFmtId="0" fontId="12" fillId="0" borderId="12" xfId="0" applyFont="1" applyBorder="1" applyAlignment="1">
      <alignment horizontal="right" wrapText="1"/>
    </xf>
    <xf numFmtId="0" fontId="29" fillId="3" borderId="13" xfId="0" applyFont="1" applyFill="1" applyBorder="1" applyAlignment="1">
      <alignment horizontal="right"/>
    </xf>
    <xf numFmtId="0" fontId="14" fillId="9" borderId="23" xfId="2" applyFont="1" applyBorder="1"/>
    <xf numFmtId="0" fontId="8" fillId="0" borderId="8" xfId="0" applyFont="1" applyBorder="1" applyAlignment="1">
      <alignment wrapText="1"/>
    </xf>
    <xf numFmtId="0" fontId="25" fillId="0" borderId="35" xfId="0" applyFont="1" applyBorder="1" applyAlignment="1">
      <alignment wrapText="1"/>
    </xf>
    <xf numFmtId="0" fontId="21" fillId="0" borderId="2" xfId="0" applyFont="1" applyBorder="1" applyAlignment="1">
      <alignment wrapText="1"/>
    </xf>
    <xf numFmtId="0" fontId="8" fillId="0" borderId="0" xfId="0" applyFont="1" applyAlignment="1">
      <alignment vertical="center"/>
    </xf>
    <xf numFmtId="0" fontId="25" fillId="0" borderId="3" xfId="0" applyFont="1" applyBorder="1" applyAlignment="1">
      <alignment horizontal="center" wrapText="1"/>
    </xf>
    <xf numFmtId="0" fontId="25" fillId="0" borderId="1" xfId="0" applyFont="1" applyBorder="1" applyAlignment="1">
      <alignment horizontal="center" wrapText="1"/>
    </xf>
    <xf numFmtId="0" fontId="25" fillId="0" borderId="36" xfId="0" applyFont="1" applyBorder="1" applyAlignment="1">
      <alignment wrapText="1"/>
    </xf>
    <xf numFmtId="0" fontId="25" fillId="0" borderId="2" xfId="0" applyFont="1" applyBorder="1" applyAlignment="1">
      <alignment wrapText="1"/>
    </xf>
    <xf numFmtId="2" fontId="25" fillId="6" borderId="0" xfId="0" applyNumberFormat="1" applyFont="1" applyFill="1" applyAlignment="1">
      <alignment wrapText="1"/>
    </xf>
    <xf numFmtId="2" fontId="25" fillId="6" borderId="0" xfId="0" applyNumberFormat="1" applyFont="1" applyFill="1" applyAlignment="1">
      <alignment horizontal="right" wrapText="1"/>
    </xf>
    <xf numFmtId="2" fontId="25" fillId="6" borderId="3" xfId="0" applyNumberFormat="1" applyFont="1" applyFill="1" applyBorder="1" applyAlignment="1">
      <alignment horizontal="right" wrapText="1"/>
    </xf>
    <xf numFmtId="2" fontId="25" fillId="6" borderId="3" xfId="1" applyNumberFormat="1" applyFont="1" applyFill="1" applyBorder="1" applyAlignment="1">
      <alignment wrapText="1"/>
    </xf>
    <xf numFmtId="0" fontId="25" fillId="0" borderId="5" xfId="0" applyFont="1" applyBorder="1" applyAlignment="1">
      <alignment wrapText="1"/>
    </xf>
    <xf numFmtId="9" fontId="25" fillId="6" borderId="6" xfId="1" applyFont="1" applyFill="1" applyBorder="1" applyAlignment="1">
      <alignment wrapText="1"/>
    </xf>
    <xf numFmtId="0" fontId="8" fillId="0" borderId="10" xfId="0" applyFont="1" applyBorder="1" applyAlignment="1">
      <alignment horizontal="center" wrapText="1"/>
    </xf>
    <xf numFmtId="0" fontId="8" fillId="0" borderId="18" xfId="0" applyFont="1" applyBorder="1" applyAlignment="1">
      <alignment wrapText="1"/>
    </xf>
    <xf numFmtId="0" fontId="25" fillId="0" borderId="39" xfId="0" applyFont="1" applyBorder="1" applyAlignment="1">
      <alignment wrapText="1"/>
    </xf>
    <xf numFmtId="0" fontId="25" fillId="0" borderId="36" xfId="0" applyFont="1" applyBorder="1" applyAlignment="1">
      <alignment horizontal="center" wrapText="1"/>
    </xf>
    <xf numFmtId="0" fontId="25" fillId="0" borderId="40" xfId="0" applyFont="1" applyBorder="1" applyAlignment="1">
      <alignment horizontal="left" wrapText="1"/>
    </xf>
    <xf numFmtId="3" fontId="8" fillId="4" borderId="15" xfId="0" applyNumberFormat="1" applyFont="1" applyFill="1" applyBorder="1" applyAlignment="1">
      <alignment horizontal="left" wrapText="1"/>
    </xf>
    <xf numFmtId="0" fontId="28" fillId="0" borderId="42" xfId="0" applyFont="1" applyBorder="1" applyAlignment="1">
      <alignment wrapText="1"/>
    </xf>
    <xf numFmtId="0" fontId="8" fillId="0" borderId="9" xfId="0" applyFont="1" applyBorder="1" applyAlignment="1">
      <alignment wrapText="1"/>
    </xf>
    <xf numFmtId="0" fontId="25" fillId="0" borderId="9" xfId="0" applyFont="1" applyBorder="1" applyAlignment="1">
      <alignment horizontal="center" wrapText="1"/>
    </xf>
    <xf numFmtId="0" fontId="25" fillId="0" borderId="43" xfId="0" applyFont="1" applyBorder="1" applyAlignment="1">
      <alignment wrapText="1"/>
    </xf>
    <xf numFmtId="2" fontId="25" fillId="6" borderId="11" xfId="0" applyNumberFormat="1" applyFont="1" applyFill="1" applyBorder="1" applyAlignment="1">
      <alignment horizontal="right" wrapText="1"/>
    </xf>
    <xf numFmtId="0" fontId="25" fillId="0" borderId="5" xfId="0" quotePrefix="1" applyFont="1" applyBorder="1" applyAlignment="1">
      <alignment horizontal="center" wrapText="1"/>
    </xf>
    <xf numFmtId="0" fontId="8" fillId="0" borderId="1" xfId="0" applyFont="1" applyBorder="1" applyAlignment="1">
      <alignment horizontal="center" wrapText="1"/>
    </xf>
    <xf numFmtId="0" fontId="8" fillId="0" borderId="7" xfId="0" applyFont="1" applyBorder="1" applyAlignment="1">
      <alignment horizontal="center" wrapText="1"/>
    </xf>
    <xf numFmtId="3" fontId="8" fillId="4" borderId="9" xfId="0" applyNumberFormat="1" applyFont="1" applyFill="1" applyBorder="1" applyAlignment="1">
      <alignment horizontal="right" wrapText="1"/>
    </xf>
    <xf numFmtId="0" fontId="8" fillId="0" borderId="10" xfId="0" applyFont="1" applyBorder="1" applyAlignment="1">
      <alignment horizontal="center" vertical="center" wrapText="1"/>
    </xf>
    <xf numFmtId="0" fontId="8" fillId="0" borderId="12"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wrapText="1"/>
    </xf>
    <xf numFmtId="0" fontId="25" fillId="0" borderId="12" xfId="0" applyFont="1" applyBorder="1" applyAlignment="1">
      <alignment horizontal="center" wrapText="1"/>
    </xf>
    <xf numFmtId="0" fontId="25" fillId="0" borderId="11" xfId="0" applyFont="1" applyBorder="1" applyAlignment="1">
      <alignment horizontal="center" wrapText="1"/>
    </xf>
    <xf numFmtId="0" fontId="8" fillId="0" borderId="17" xfId="0" applyFont="1" applyBorder="1" applyAlignment="1">
      <alignment horizontal="center" wrapText="1"/>
    </xf>
    <xf numFmtId="0" fontId="8" fillId="0" borderId="18" xfId="0" applyFont="1" applyBorder="1" applyAlignment="1">
      <alignment horizontal="left" wrapText="1"/>
    </xf>
    <xf numFmtId="0" fontId="25" fillId="0" borderId="17" xfId="0" applyFont="1" applyBorder="1" applyAlignment="1">
      <alignment horizontal="center" wrapText="1"/>
    </xf>
    <xf numFmtId="0" fontId="25" fillId="0" borderId="18" xfId="0" applyFont="1" applyBorder="1" applyAlignment="1">
      <alignment wrapText="1"/>
    </xf>
    <xf numFmtId="0" fontId="25" fillId="0" borderId="15" xfId="0" applyFont="1" applyBorder="1" applyAlignment="1">
      <alignment horizontal="center" wrapText="1"/>
    </xf>
    <xf numFmtId="165" fontId="8" fillId="4" borderId="11" xfId="0" applyNumberFormat="1" applyFont="1" applyFill="1" applyBorder="1" applyAlignment="1">
      <alignment horizontal="right" wrapText="1"/>
    </xf>
    <xf numFmtId="0" fontId="8" fillId="0" borderId="10" xfId="0" applyFont="1" applyBorder="1" applyAlignment="1">
      <alignment wrapText="1"/>
    </xf>
    <xf numFmtId="0" fontId="25" fillId="0" borderId="7" xfId="0" applyFont="1" applyBorder="1" applyAlignment="1">
      <alignment wrapText="1"/>
    </xf>
    <xf numFmtId="0" fontId="25" fillId="0" borderId="10" xfId="0" applyFont="1" applyBorder="1" applyAlignment="1">
      <alignment wrapText="1"/>
    </xf>
    <xf numFmtId="1" fontId="8" fillId="4" borderId="11" xfId="0" applyNumberFormat="1" applyFont="1" applyFill="1" applyBorder="1" applyAlignment="1">
      <alignment horizontal="right" wrapText="1"/>
    </xf>
    <xf numFmtId="165" fontId="8" fillId="4" borderId="11" xfId="0" applyNumberFormat="1" applyFont="1" applyFill="1" applyBorder="1" applyAlignment="1">
      <alignment wrapText="1"/>
    </xf>
    <xf numFmtId="165" fontId="8" fillId="4" borderId="13" xfId="0" applyNumberFormat="1" applyFont="1" applyFill="1" applyBorder="1" applyAlignment="1">
      <alignment horizontal="right" wrapText="1"/>
    </xf>
    <xf numFmtId="0" fontId="1" fillId="5" borderId="0" xfId="0" applyFont="1" applyFill="1"/>
    <xf numFmtId="0" fontId="5" fillId="5" borderId="0" xfId="0" applyFont="1" applyFill="1" applyAlignment="1">
      <alignment wrapText="1"/>
    </xf>
    <xf numFmtId="0" fontId="6" fillId="5" borderId="0" xfId="0" applyFont="1" applyFill="1" applyAlignment="1">
      <alignment wrapText="1"/>
    </xf>
    <xf numFmtId="0" fontId="12" fillId="0" borderId="17" xfId="0" applyFont="1" applyBorder="1" applyAlignment="1">
      <alignment horizontal="right" wrapText="1"/>
    </xf>
    <xf numFmtId="14" fontId="30" fillId="0" borderId="15" xfId="0" applyNumberFormat="1" applyFont="1" applyBorder="1"/>
    <xf numFmtId="0" fontId="0" fillId="0" borderId="9" xfId="0" applyBorder="1" applyAlignment="1">
      <alignment wrapText="1"/>
    </xf>
    <xf numFmtId="0" fontId="21" fillId="0" borderId="7" xfId="0" applyFont="1" applyBorder="1" applyAlignment="1">
      <alignment wrapText="1"/>
    </xf>
    <xf numFmtId="0" fontId="26" fillId="0" borderId="0" xfId="0" applyFont="1" applyAlignment="1">
      <alignment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 xfId="0" applyFill="1" applyBorder="1" applyAlignment="1">
      <alignment horizontal="left" vertical="top" wrapText="1"/>
    </xf>
    <xf numFmtId="0" fontId="0" fillId="3" borderId="13" xfId="0" applyFill="1" applyBorder="1" applyAlignment="1">
      <alignment horizontal="left" vertical="top" wrapText="1"/>
    </xf>
    <xf numFmtId="0" fontId="21" fillId="0" borderId="17" xfId="0" applyFont="1" applyBorder="1" applyAlignment="1">
      <alignment wrapText="1"/>
    </xf>
    <xf numFmtId="0" fontId="0" fillId="0" borderId="18" xfId="0" applyBorder="1" applyAlignment="1">
      <alignment wrapText="1"/>
    </xf>
    <xf numFmtId="0" fontId="0" fillId="0" borderId="15" xfId="0" applyBorder="1" applyAlignment="1">
      <alignment wrapText="1"/>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5" xfId="0" applyFont="1" applyBorder="1" applyAlignment="1">
      <alignment horizontal="left" wrapText="1"/>
    </xf>
    <xf numFmtId="0" fontId="9" fillId="0" borderId="0" xfId="0" applyFont="1" applyAlignment="1">
      <alignment wrapText="1"/>
    </xf>
    <xf numFmtId="0" fontId="0" fillId="0" borderId="0" xfId="0"/>
    <xf numFmtId="0" fontId="31" fillId="0" borderId="35" xfId="0" applyFont="1" applyBorder="1" applyAlignment="1">
      <alignment wrapText="1"/>
    </xf>
    <xf numFmtId="0" fontId="8" fillId="0" borderId="1" xfId="0" applyFont="1" applyBorder="1" applyAlignment="1">
      <alignment wrapText="1"/>
    </xf>
    <xf numFmtId="0" fontId="8" fillId="0" borderId="36" xfId="0" applyFont="1" applyBorder="1" applyAlignment="1">
      <alignment wrapText="1"/>
    </xf>
    <xf numFmtId="0" fontId="1" fillId="0" borderId="27" xfId="0" applyFont="1" applyBorder="1" applyAlignment="1">
      <alignment wrapText="1"/>
    </xf>
    <xf numFmtId="0" fontId="0" fillId="0" borderId="8" xfId="0" applyBorder="1" applyAlignment="1">
      <alignment wrapText="1"/>
    </xf>
    <xf numFmtId="0" fontId="0" fillId="0" borderId="28" xfId="0" applyBorder="1" applyAlignment="1">
      <alignment wrapText="1"/>
    </xf>
    <xf numFmtId="0" fontId="25" fillId="0" borderId="35" xfId="0" applyFont="1" applyBorder="1" applyAlignment="1">
      <alignment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left" vertical="top" wrapText="1"/>
    </xf>
    <xf numFmtId="0" fontId="31" fillId="0" borderId="27" xfId="0" applyFont="1" applyBorder="1" applyAlignment="1">
      <alignment horizontal="left" wrapText="1"/>
    </xf>
    <xf numFmtId="0" fontId="31" fillId="0" borderId="8" xfId="0" applyFont="1" applyBorder="1" applyAlignment="1">
      <alignment horizontal="left" wrapText="1"/>
    </xf>
    <xf numFmtId="0" fontId="31" fillId="0" borderId="28" xfId="0" applyFont="1" applyBorder="1" applyAlignment="1">
      <alignment horizontal="left"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3" xfId="0" applyFont="1" applyFill="1" applyBorder="1" applyAlignment="1">
      <alignment horizontal="center" vertical="top"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220"/>
  <sheetViews>
    <sheetView tabSelected="1" topLeftCell="C1" zoomScaleNormal="100" workbookViewId="0">
      <selection activeCell="H3" sqref="H3"/>
    </sheetView>
  </sheetViews>
  <sheetFormatPr defaultColWidth="8.85546875" defaultRowHeight="15" x14ac:dyDescent="0.25"/>
  <cols>
    <col min="1" max="1" width="13.28515625" style="2" customWidth="1"/>
    <col min="2" max="2" width="19.85546875" style="2" bestFit="1" customWidth="1"/>
    <col min="3" max="3" width="68" style="2" customWidth="1"/>
    <col min="4" max="4" width="21" style="2" customWidth="1"/>
    <col min="5" max="5" width="2.42578125" style="2" customWidth="1"/>
    <col min="6" max="6" width="17.42578125" style="2" customWidth="1"/>
    <col min="7" max="7" width="18.85546875" style="2" customWidth="1"/>
    <col min="8" max="8" width="62.5703125" style="2" customWidth="1"/>
    <col min="9" max="9" width="13.7109375" style="2" customWidth="1"/>
    <col min="10" max="10" width="2.5703125" style="2" customWidth="1"/>
    <col min="11" max="11" width="44.28515625" style="2" customWidth="1"/>
    <col min="12" max="12" width="14.140625" style="2" bestFit="1" customWidth="1"/>
    <col min="13" max="13" width="13.28515625" style="2" customWidth="1"/>
    <col min="14" max="14" width="11" style="2" customWidth="1"/>
    <col min="15" max="15" width="12.85546875" style="2" customWidth="1"/>
    <col min="16" max="16384" width="8.85546875" style="2"/>
  </cols>
  <sheetData>
    <row r="1" spans="1:9" ht="21" x14ac:dyDescent="0.35">
      <c r="A1" s="24"/>
      <c r="C1" s="288" t="s">
        <v>610</v>
      </c>
      <c r="D1" s="289">
        <v>45846</v>
      </c>
    </row>
    <row r="2" spans="1:9" ht="24" x14ac:dyDescent="0.4">
      <c r="A2" s="1" t="s">
        <v>621</v>
      </c>
      <c r="C2" s="7"/>
      <c r="D2" s="230"/>
    </row>
    <row r="3" spans="1:9" ht="24" x14ac:dyDescent="0.4">
      <c r="A3" s="1" t="s">
        <v>620</v>
      </c>
      <c r="C3" s="7"/>
    </row>
    <row r="4" spans="1:9" ht="21.75" thickBot="1" x14ac:dyDescent="0.4">
      <c r="D4" s="152"/>
    </row>
    <row r="5" spans="1:9" ht="21.75" thickBot="1" x14ac:dyDescent="0.4">
      <c r="A5" s="71" t="s">
        <v>2</v>
      </c>
      <c r="B5" s="72"/>
      <c r="C5" s="73" t="s">
        <v>460</v>
      </c>
      <c r="G5" s="231" t="s">
        <v>0</v>
      </c>
      <c r="H5" s="122"/>
    </row>
    <row r="6" spans="1:9" ht="21.75" thickBot="1" x14ac:dyDescent="0.4">
      <c r="A6" s="106" t="s">
        <v>4</v>
      </c>
      <c r="B6" s="107"/>
      <c r="C6" s="108" t="s">
        <v>5</v>
      </c>
      <c r="G6" s="123" t="s">
        <v>1</v>
      </c>
      <c r="H6" s="124"/>
    </row>
    <row r="7" spans="1:9" x14ac:dyDescent="0.25">
      <c r="G7" s="125" t="s">
        <v>3</v>
      </c>
      <c r="H7" s="126"/>
      <c r="I7" s="8"/>
    </row>
    <row r="8" spans="1:9" ht="21" x14ac:dyDescent="0.35">
      <c r="C8" s="233" t="s">
        <v>611</v>
      </c>
      <c r="D8" s="234" t="s">
        <v>632</v>
      </c>
      <c r="G8" s="127" t="s">
        <v>6</v>
      </c>
      <c r="H8" s="128"/>
      <c r="I8" s="8"/>
    </row>
    <row r="9" spans="1:9" ht="21" x14ac:dyDescent="0.35">
      <c r="C9" s="235" t="s">
        <v>612</v>
      </c>
      <c r="D9" s="236" t="s">
        <v>633</v>
      </c>
      <c r="G9" s="129" t="s">
        <v>7</v>
      </c>
      <c r="H9" s="130"/>
      <c r="I9" s="8"/>
    </row>
    <row r="10" spans="1:9" ht="15.75" thickBot="1" x14ac:dyDescent="0.3">
      <c r="G10" s="131" t="s">
        <v>8</v>
      </c>
      <c r="H10" s="132"/>
      <c r="I10" s="8"/>
    </row>
    <row r="11" spans="1:9" ht="32.25" customHeight="1" x14ac:dyDescent="0.25">
      <c r="A11" s="308" t="s">
        <v>613</v>
      </c>
      <c r="B11" s="309"/>
      <c r="C11" s="309"/>
      <c r="D11" s="309"/>
      <c r="E11" s="309"/>
      <c r="F11" s="309"/>
      <c r="G11" s="232"/>
      <c r="H11" s="232"/>
      <c r="I11" s="8"/>
    </row>
    <row r="12" spans="1:9" x14ac:dyDescent="0.25">
      <c r="G12" s="232"/>
      <c r="H12" s="232"/>
      <c r="I12" s="8"/>
    </row>
    <row r="13" spans="1:9" ht="21" x14ac:dyDescent="0.35">
      <c r="A13" s="5" t="s">
        <v>9</v>
      </c>
      <c r="G13" s="89"/>
    </row>
    <row r="14" spans="1:9" x14ac:dyDescent="0.25">
      <c r="A14" s="25" t="s">
        <v>10</v>
      </c>
      <c r="B14" s="26"/>
      <c r="C14" s="26" t="s">
        <v>11</v>
      </c>
      <c r="D14" s="91"/>
      <c r="E14" s="91"/>
      <c r="F14" s="91" t="s">
        <v>12</v>
      </c>
      <c r="G14" s="91" t="s">
        <v>469</v>
      </c>
      <c r="H14" s="40" t="s">
        <v>13</v>
      </c>
    </row>
    <row r="15" spans="1:9" ht="30" x14ac:dyDescent="0.25">
      <c r="A15" s="21" t="s">
        <v>470</v>
      </c>
      <c r="B15" s="21" t="s">
        <v>468</v>
      </c>
      <c r="C15" s="21" t="s">
        <v>482</v>
      </c>
      <c r="D15" s="119" t="s">
        <v>499</v>
      </c>
      <c r="E15" s="185"/>
      <c r="F15" s="187">
        <v>60</v>
      </c>
      <c r="G15" s="237" t="s">
        <v>500</v>
      </c>
      <c r="H15" s="184" t="s">
        <v>501</v>
      </c>
    </row>
    <row r="16" spans="1:9" ht="30" x14ac:dyDescent="0.25">
      <c r="A16" s="21" t="s">
        <v>470</v>
      </c>
      <c r="B16" s="21" t="s">
        <v>468</v>
      </c>
      <c r="C16" s="21" t="s">
        <v>482</v>
      </c>
      <c r="D16" s="119" t="s">
        <v>502</v>
      </c>
      <c r="E16" s="185"/>
      <c r="F16" s="187">
        <v>20</v>
      </c>
      <c r="G16" s="237" t="s">
        <v>500</v>
      </c>
      <c r="H16" s="184" t="s">
        <v>501</v>
      </c>
    </row>
    <row r="17" spans="1:8" ht="30" x14ac:dyDescent="0.25">
      <c r="A17" s="21" t="s">
        <v>470</v>
      </c>
      <c r="B17" s="21" t="s">
        <v>468</v>
      </c>
      <c r="C17" s="21" t="s">
        <v>482</v>
      </c>
      <c r="D17" s="119" t="s">
        <v>503</v>
      </c>
      <c r="E17" s="185"/>
      <c r="F17" s="187">
        <v>20</v>
      </c>
      <c r="G17" s="237" t="s">
        <v>500</v>
      </c>
      <c r="H17" s="184" t="s">
        <v>501</v>
      </c>
    </row>
    <row r="18" spans="1:8" x14ac:dyDescent="0.25">
      <c r="A18" s="21"/>
      <c r="B18" s="21"/>
      <c r="C18" s="21"/>
      <c r="D18" s="119"/>
      <c r="E18" s="78"/>
      <c r="F18" s="188"/>
      <c r="G18" s="186"/>
      <c r="H18" s="184"/>
    </row>
    <row r="19" spans="1:8" ht="30" x14ac:dyDescent="0.25">
      <c r="A19" s="21" t="s">
        <v>470</v>
      </c>
      <c r="B19" s="21" t="s">
        <v>475</v>
      </c>
      <c r="C19" s="21" t="s">
        <v>483</v>
      </c>
      <c r="D19" s="119" t="s">
        <v>504</v>
      </c>
      <c r="E19" s="78"/>
      <c r="F19" s="189">
        <v>300000</v>
      </c>
      <c r="G19" s="164" t="s">
        <v>16</v>
      </c>
      <c r="H19" s="135"/>
    </row>
    <row r="20" spans="1:8" x14ac:dyDescent="0.25">
      <c r="A20" s="21"/>
      <c r="B20" s="21"/>
      <c r="C20" s="21"/>
      <c r="D20" s="32"/>
      <c r="E20" s="78"/>
      <c r="F20" s="98"/>
      <c r="G20" s="98"/>
      <c r="H20" s="135"/>
    </row>
    <row r="21" spans="1:8" ht="45" x14ac:dyDescent="0.25">
      <c r="A21" s="21" t="s">
        <v>470</v>
      </c>
      <c r="B21" s="21" t="s">
        <v>14</v>
      </c>
      <c r="C21" s="21" t="s">
        <v>484</v>
      </c>
      <c r="D21" s="119" t="s">
        <v>505</v>
      </c>
      <c r="E21" s="99"/>
      <c r="F21" s="120">
        <v>100000</v>
      </c>
      <c r="G21" s="89" t="s">
        <v>16</v>
      </c>
      <c r="H21" s="92"/>
    </row>
    <row r="22" spans="1:8" ht="45" x14ac:dyDescent="0.25">
      <c r="A22" s="21" t="s">
        <v>470</v>
      </c>
      <c r="B22" s="21" t="s">
        <v>14</v>
      </c>
      <c r="C22" s="21" t="s">
        <v>484</v>
      </c>
      <c r="D22" s="119" t="s">
        <v>506</v>
      </c>
      <c r="E22" s="99"/>
      <c r="F22" s="120">
        <v>200000</v>
      </c>
      <c r="G22" s="89" t="s">
        <v>16</v>
      </c>
      <c r="H22" s="92"/>
    </row>
    <row r="23" spans="1:8" x14ac:dyDescent="0.25">
      <c r="A23" s="21"/>
      <c r="B23" s="21"/>
      <c r="C23" s="21"/>
      <c r="D23" s="32"/>
      <c r="E23" s="99"/>
      <c r="F23" s="161"/>
      <c r="G23" s="89"/>
      <c r="H23" s="92"/>
    </row>
    <row r="24" spans="1:8" ht="30" x14ac:dyDescent="0.25">
      <c r="A24" s="21" t="s">
        <v>470</v>
      </c>
      <c r="B24" s="21" t="s">
        <v>17</v>
      </c>
      <c r="C24" s="21" t="s">
        <v>18</v>
      </c>
      <c r="D24" s="100" t="s">
        <v>507</v>
      </c>
      <c r="E24" s="99"/>
      <c r="F24" s="188" t="s">
        <v>19</v>
      </c>
      <c r="G24" s="101" t="s">
        <v>19</v>
      </c>
      <c r="H24" s="92"/>
    </row>
    <row r="25" spans="1:8" x14ac:dyDescent="0.25">
      <c r="A25" s="21"/>
      <c r="B25" s="21"/>
      <c r="C25" s="21"/>
      <c r="D25" s="163"/>
      <c r="E25" s="163"/>
      <c r="F25" s="190"/>
      <c r="G25" s="101"/>
      <c r="H25" s="92"/>
    </row>
    <row r="26" spans="1:8" s="109" customFormat="1" x14ac:dyDescent="0.25">
      <c r="A26" s="162" t="s">
        <v>470</v>
      </c>
      <c r="B26" s="162" t="s">
        <v>20</v>
      </c>
      <c r="C26" s="162" t="s">
        <v>21</v>
      </c>
      <c r="D26" s="138"/>
      <c r="E26" s="139"/>
      <c r="F26" s="160">
        <v>40</v>
      </c>
      <c r="G26" s="140" t="s">
        <v>19</v>
      </c>
      <c r="H26" s="141"/>
    </row>
    <row r="27" spans="1:8" s="109" customFormat="1" x14ac:dyDescent="0.25">
      <c r="A27" s="21"/>
      <c r="B27" s="21"/>
      <c r="C27" s="21"/>
      <c r="D27" s="173"/>
      <c r="E27" s="174"/>
      <c r="F27" s="188"/>
      <c r="G27" s="101"/>
      <c r="H27" s="175"/>
    </row>
    <row r="28" spans="1:8" ht="30" x14ac:dyDescent="0.25">
      <c r="A28" s="21" t="s">
        <v>471</v>
      </c>
      <c r="B28" s="21" t="s">
        <v>461</v>
      </c>
      <c r="C28" s="21" t="s">
        <v>485</v>
      </c>
      <c r="D28" s="100" t="s">
        <v>508</v>
      </c>
      <c r="E28" s="99"/>
      <c r="F28" s="133">
        <v>120000</v>
      </c>
      <c r="G28" s="165" t="s">
        <v>16</v>
      </c>
      <c r="H28" s="166"/>
    </row>
    <row r="29" spans="1:8" x14ac:dyDescent="0.25">
      <c r="A29" s="21"/>
      <c r="B29" s="21"/>
      <c r="C29" s="21"/>
      <c r="D29" s="32"/>
      <c r="E29" s="99"/>
      <c r="F29" s="149"/>
      <c r="G29" s="167"/>
      <c r="H29" s="166"/>
    </row>
    <row r="30" spans="1:8" ht="45" x14ac:dyDescent="0.25">
      <c r="A30" s="21" t="s">
        <v>471</v>
      </c>
      <c r="B30" s="21" t="s">
        <v>14</v>
      </c>
      <c r="C30" s="21" t="s">
        <v>484</v>
      </c>
      <c r="D30" s="170" t="s">
        <v>509</v>
      </c>
      <c r="E30" s="99"/>
      <c r="F30" s="120">
        <v>120000</v>
      </c>
      <c r="G30" s="167" t="s">
        <v>16</v>
      </c>
      <c r="H30" s="166"/>
    </row>
    <row r="31" spans="1:8" x14ac:dyDescent="0.25">
      <c r="A31" s="21"/>
      <c r="B31" s="21"/>
      <c r="C31" s="21"/>
      <c r="D31" s="171"/>
      <c r="E31" s="99"/>
      <c r="F31" s="191"/>
      <c r="G31" s="167"/>
      <c r="H31" s="166"/>
    </row>
    <row r="32" spans="1:8" ht="30" x14ac:dyDescent="0.25">
      <c r="A32" s="162" t="s">
        <v>471</v>
      </c>
      <c r="B32" s="162" t="s">
        <v>17</v>
      </c>
      <c r="C32" s="162" t="s">
        <v>18</v>
      </c>
      <c r="D32" s="172" t="s">
        <v>507</v>
      </c>
      <c r="E32" s="136"/>
      <c r="F32" s="192" t="s">
        <v>19</v>
      </c>
      <c r="G32" s="168" t="s">
        <v>19</v>
      </c>
      <c r="H32" s="169"/>
    </row>
    <row r="33" spans="1:16" x14ac:dyDescent="0.25">
      <c r="A33" s="21"/>
      <c r="B33" s="21"/>
      <c r="C33" s="21"/>
      <c r="D33" s="176"/>
      <c r="E33" s="99"/>
      <c r="F33" s="193"/>
      <c r="G33" s="176"/>
      <c r="H33" s="166"/>
    </row>
    <row r="34" spans="1:16" ht="45" x14ac:dyDescent="0.25">
      <c r="A34" s="2" t="s">
        <v>22</v>
      </c>
      <c r="B34" s="2" t="s">
        <v>23</v>
      </c>
      <c r="C34" s="2" t="s">
        <v>24</v>
      </c>
      <c r="D34" s="144" t="s">
        <v>510</v>
      </c>
      <c r="E34" s="103"/>
      <c r="F34" s="145">
        <v>250000</v>
      </c>
      <c r="G34" s="89" t="s">
        <v>25</v>
      </c>
      <c r="H34" s="104"/>
    </row>
    <row r="35" spans="1:16" ht="45" x14ac:dyDescent="0.25">
      <c r="A35" s="2" t="s">
        <v>22</v>
      </c>
      <c r="B35" s="2" t="s">
        <v>23</v>
      </c>
      <c r="C35" s="2" t="s">
        <v>24</v>
      </c>
      <c r="D35" s="144" t="s">
        <v>511</v>
      </c>
      <c r="E35" s="103"/>
      <c r="F35" s="145">
        <v>170000</v>
      </c>
      <c r="G35" s="89" t="s">
        <v>25</v>
      </c>
      <c r="H35" s="104"/>
    </row>
    <row r="36" spans="1:16" x14ac:dyDescent="0.25">
      <c r="D36" s="89"/>
      <c r="E36" s="103"/>
      <c r="F36" s="194"/>
      <c r="G36" s="89"/>
      <c r="H36" s="104"/>
    </row>
    <row r="37" spans="1:16" ht="45" x14ac:dyDescent="0.25">
      <c r="A37" s="162" t="s">
        <v>22</v>
      </c>
      <c r="B37" s="162" t="s">
        <v>473</v>
      </c>
      <c r="C37" s="162" t="s">
        <v>486</v>
      </c>
      <c r="D37" s="172" t="s">
        <v>512</v>
      </c>
      <c r="E37" s="153"/>
      <c r="F37" s="160">
        <v>10000</v>
      </c>
      <c r="G37" s="177" t="s">
        <v>25</v>
      </c>
      <c r="H37" s="154"/>
    </row>
    <row r="38" spans="1:16" x14ac:dyDescent="0.25">
      <c r="A38" s="13"/>
      <c r="B38" s="13"/>
      <c r="C38" s="13"/>
      <c r="D38" s="155"/>
      <c r="E38" s="156"/>
      <c r="F38" s="157"/>
      <c r="G38" s="158"/>
      <c r="H38" s="159"/>
    </row>
    <row r="39" spans="1:16" ht="30" x14ac:dyDescent="0.25">
      <c r="A39" s="2" t="s">
        <v>26</v>
      </c>
      <c r="B39" s="2" t="s">
        <v>27</v>
      </c>
      <c r="C39" s="2" t="s">
        <v>28</v>
      </c>
      <c r="D39" s="100" t="s">
        <v>513</v>
      </c>
      <c r="E39" s="99"/>
      <c r="F39" s="102">
        <v>1</v>
      </c>
      <c r="G39" s="101" t="s">
        <v>19</v>
      </c>
      <c r="H39" s="92"/>
    </row>
    <row r="40" spans="1:16" ht="30" x14ac:dyDescent="0.25">
      <c r="A40" s="2" t="s">
        <v>26</v>
      </c>
      <c r="B40" s="2" t="s">
        <v>27</v>
      </c>
      <c r="C40" s="2" t="s">
        <v>28</v>
      </c>
      <c r="D40" s="100" t="s">
        <v>519</v>
      </c>
      <c r="E40" s="99"/>
      <c r="F40" s="102">
        <v>1</v>
      </c>
      <c r="G40" s="101" t="s">
        <v>19</v>
      </c>
      <c r="H40" s="92"/>
    </row>
    <row r="41" spans="1:16" x14ac:dyDescent="0.25">
      <c r="E41" s="99"/>
      <c r="F41" s="150"/>
      <c r="G41" s="101"/>
      <c r="H41" s="92"/>
    </row>
    <row r="42" spans="1:16" ht="30" x14ac:dyDescent="0.25">
      <c r="A42" s="2" t="s">
        <v>26</v>
      </c>
      <c r="B42" s="2" t="s">
        <v>29</v>
      </c>
      <c r="C42" s="2" t="s">
        <v>30</v>
      </c>
      <c r="E42" s="99"/>
      <c r="F42" s="145" t="s">
        <v>514</v>
      </c>
      <c r="G42" s="89" t="s">
        <v>31</v>
      </c>
      <c r="H42" s="104" t="s">
        <v>32</v>
      </c>
    </row>
    <row r="43" spans="1:16" x14ac:dyDescent="0.25">
      <c r="A43" s="3"/>
      <c r="B43" s="3"/>
      <c r="C43" s="3"/>
      <c r="D43" s="146"/>
      <c r="E43" s="136"/>
      <c r="F43" s="146"/>
      <c r="G43" s="137"/>
      <c r="H43" s="142"/>
    </row>
    <row r="44" spans="1:16" ht="45" x14ac:dyDescent="0.25">
      <c r="A44" s="2" t="s">
        <v>465</v>
      </c>
      <c r="B44" s="2" t="s">
        <v>33</v>
      </c>
      <c r="C44" s="2" t="s">
        <v>34</v>
      </c>
      <c r="D44" s="178" t="s">
        <v>515</v>
      </c>
      <c r="E44" s="99"/>
      <c r="F44" s="145"/>
      <c r="G44" s="144" t="s">
        <v>15</v>
      </c>
      <c r="H44" s="105"/>
    </row>
    <row r="45" spans="1:16" x14ac:dyDescent="0.25">
      <c r="A45" s="3"/>
      <c r="B45" s="3"/>
      <c r="C45" s="3"/>
      <c r="D45" s="147"/>
      <c r="E45" s="136"/>
      <c r="F45" s="146"/>
      <c r="G45" s="148"/>
      <c r="H45" s="143"/>
    </row>
    <row r="46" spans="1:16" customFormat="1" ht="30.75" customHeight="1" x14ac:dyDescent="0.25">
      <c r="A46" s="317" t="s">
        <v>651</v>
      </c>
      <c r="B46" s="318"/>
      <c r="C46" s="318"/>
      <c r="D46" s="318"/>
      <c r="E46" s="318"/>
      <c r="F46" s="318"/>
      <c r="G46" s="318"/>
      <c r="H46" s="319"/>
      <c r="I46" s="2"/>
      <c r="J46" s="2"/>
      <c r="K46" s="2"/>
      <c r="L46" s="2"/>
      <c r="M46" s="2"/>
      <c r="N46" s="2"/>
      <c r="O46" s="2"/>
      <c r="P46" s="2"/>
    </row>
    <row r="47" spans="1:16" customFormat="1" x14ac:dyDescent="0.25">
      <c r="A47" s="323"/>
      <c r="B47" s="324"/>
      <c r="C47" s="324"/>
      <c r="D47" s="324"/>
      <c r="E47" s="324"/>
      <c r="F47" s="324"/>
      <c r="G47" s="324"/>
      <c r="H47" s="325"/>
      <c r="I47" s="2"/>
      <c r="J47" s="2"/>
      <c r="K47" s="2"/>
      <c r="L47" s="2"/>
      <c r="M47" s="2"/>
      <c r="N47" s="2"/>
      <c r="O47" s="2"/>
      <c r="P47" s="2"/>
    </row>
    <row r="48" spans="1:16" customFormat="1" x14ac:dyDescent="0.25">
      <c r="A48" s="326"/>
      <c r="B48" s="327"/>
      <c r="C48" s="327"/>
      <c r="D48" s="327"/>
      <c r="E48" s="327"/>
      <c r="F48" s="327"/>
      <c r="G48" s="327"/>
      <c r="H48" s="328"/>
      <c r="I48" s="2"/>
      <c r="J48" s="2"/>
      <c r="K48" s="2"/>
      <c r="L48" s="2"/>
      <c r="M48" s="2"/>
      <c r="N48" s="2"/>
      <c r="O48" s="2"/>
      <c r="P48" s="2"/>
    </row>
    <row r="49" spans="1:16" customFormat="1" x14ac:dyDescent="0.25">
      <c r="A49" s="326"/>
      <c r="B49" s="327"/>
      <c r="C49" s="327"/>
      <c r="D49" s="327"/>
      <c r="E49" s="327"/>
      <c r="F49" s="327"/>
      <c r="G49" s="327"/>
      <c r="H49" s="328"/>
      <c r="I49" s="2"/>
      <c r="J49" s="2"/>
      <c r="K49" s="2"/>
      <c r="L49" s="2"/>
      <c r="M49" s="2"/>
      <c r="N49" s="2"/>
      <c r="O49" s="2"/>
      <c r="P49" s="2"/>
    </row>
    <row r="50" spans="1:16" customFormat="1" x14ac:dyDescent="0.25">
      <c r="A50" s="329"/>
      <c r="B50" s="330"/>
      <c r="C50" s="330"/>
      <c r="D50" s="330"/>
      <c r="E50" s="330"/>
      <c r="F50" s="330"/>
      <c r="G50" s="330"/>
      <c r="H50" s="331"/>
      <c r="I50" s="2"/>
      <c r="J50" s="2"/>
      <c r="K50" s="2"/>
      <c r="L50" s="2"/>
      <c r="M50" s="2"/>
      <c r="N50" s="2"/>
      <c r="O50" s="2"/>
      <c r="P50" s="2"/>
    </row>
    <row r="51" spans="1:16" x14ac:dyDescent="0.25">
      <c r="G51" s="89"/>
      <c r="H51" s="8"/>
      <c r="I51" s="8"/>
      <c r="K51" s="32"/>
    </row>
    <row r="52" spans="1:16" x14ac:dyDescent="0.25">
      <c r="A52" s="6"/>
      <c r="B52" s="6"/>
      <c r="C52" s="6"/>
      <c r="D52" s="6"/>
      <c r="E52" s="6"/>
      <c r="F52" s="6"/>
      <c r="G52" s="285"/>
      <c r="H52" s="286"/>
      <c r="I52" s="286"/>
      <c r="J52" s="6"/>
      <c r="K52" s="287"/>
      <c r="L52" s="6"/>
      <c r="M52" s="6"/>
      <c r="N52" s="6"/>
      <c r="O52" s="6"/>
      <c r="P52" s="6"/>
    </row>
    <row r="53" spans="1:16" ht="21" x14ac:dyDescent="0.35">
      <c r="A53" s="5" t="s">
        <v>35</v>
      </c>
      <c r="D53" s="151"/>
      <c r="E53" s="32"/>
      <c r="F53" s="98"/>
    </row>
    <row r="54" spans="1:16" x14ac:dyDescent="0.25">
      <c r="A54" s="22" t="s">
        <v>36</v>
      </c>
      <c r="B54" s="23" t="s">
        <v>37</v>
      </c>
      <c r="C54" s="23"/>
      <c r="D54" s="58" t="s">
        <v>16</v>
      </c>
    </row>
    <row r="55" spans="1:16" x14ac:dyDescent="0.25">
      <c r="A55" s="41" t="s">
        <v>38</v>
      </c>
      <c r="B55" s="2" t="s">
        <v>39</v>
      </c>
      <c r="C55" s="21" t="s">
        <v>498</v>
      </c>
      <c r="D55" s="49">
        <v>100000</v>
      </c>
    </row>
    <row r="56" spans="1:16" x14ac:dyDescent="0.25">
      <c r="A56" s="41" t="s">
        <v>40</v>
      </c>
      <c r="B56" s="2" t="s">
        <v>394</v>
      </c>
      <c r="C56" s="21" t="s">
        <v>487</v>
      </c>
      <c r="D56" s="49">
        <v>200000</v>
      </c>
    </row>
    <row r="57" spans="1:16" x14ac:dyDescent="0.25">
      <c r="A57" s="41" t="s">
        <v>41</v>
      </c>
      <c r="B57" s="2" t="s">
        <v>42</v>
      </c>
      <c r="C57" s="2" t="s">
        <v>43</v>
      </c>
      <c r="D57" s="49">
        <v>0</v>
      </c>
    </row>
    <row r="58" spans="1:16" x14ac:dyDescent="0.25">
      <c r="A58" s="41" t="s">
        <v>44</v>
      </c>
      <c r="B58" s="2" t="s">
        <v>45</v>
      </c>
      <c r="C58" s="2" t="s">
        <v>46</v>
      </c>
      <c r="D58" s="49">
        <v>50000</v>
      </c>
    </row>
    <row r="59" spans="1:16" x14ac:dyDescent="0.25">
      <c r="A59" s="41"/>
      <c r="D59" s="121" t="s">
        <v>25</v>
      </c>
    </row>
    <row r="60" spans="1:16" x14ac:dyDescent="0.25">
      <c r="A60" s="41" t="s">
        <v>47</v>
      </c>
      <c r="B60" s="2" t="s">
        <v>48</v>
      </c>
      <c r="C60" s="21" t="s">
        <v>652</v>
      </c>
      <c r="D60" s="49">
        <v>270000</v>
      </c>
    </row>
    <row r="61" spans="1:16" x14ac:dyDescent="0.25">
      <c r="A61" s="41"/>
      <c r="D61" s="121" t="s">
        <v>52</v>
      </c>
    </row>
    <row r="62" spans="1:16" x14ac:dyDescent="0.25">
      <c r="A62" s="50" t="s">
        <v>49</v>
      </c>
      <c r="B62" s="3" t="s">
        <v>50</v>
      </c>
      <c r="C62" s="3" t="s">
        <v>51</v>
      </c>
      <c r="D62" s="51">
        <f>D57+D60</f>
        <v>270000</v>
      </c>
    </row>
    <row r="63" spans="1:16" x14ac:dyDescent="0.25">
      <c r="D63" s="16"/>
      <c r="E63" s="17"/>
    </row>
    <row r="64" spans="1:16" x14ac:dyDescent="0.25">
      <c r="A64" s="6"/>
      <c r="B64" s="6"/>
      <c r="C64" s="6"/>
      <c r="D64" s="10"/>
      <c r="E64" s="10"/>
      <c r="F64" s="11"/>
      <c r="G64" s="6"/>
      <c r="H64" s="6"/>
      <c r="I64" s="6"/>
      <c r="J64" s="6"/>
      <c r="K64" s="6"/>
      <c r="L64" s="6"/>
      <c r="M64" s="6"/>
      <c r="N64" s="6"/>
      <c r="O64" s="6"/>
      <c r="P64" s="6"/>
    </row>
    <row r="65" spans="1:16" ht="21.75" thickBot="1" x14ac:dyDescent="0.4">
      <c r="A65" s="5" t="s">
        <v>53</v>
      </c>
      <c r="F65" s="16"/>
      <c r="G65" s="17"/>
    </row>
    <row r="66" spans="1:16" ht="21" x14ac:dyDescent="0.35">
      <c r="A66" s="39" t="s">
        <v>36</v>
      </c>
      <c r="B66" s="26" t="s">
        <v>37</v>
      </c>
      <c r="C66" s="26" t="s">
        <v>11</v>
      </c>
      <c r="D66" s="40" t="s">
        <v>54</v>
      </c>
      <c r="F66" s="39" t="s">
        <v>36</v>
      </c>
      <c r="G66" s="26" t="s">
        <v>37</v>
      </c>
      <c r="H66" s="26" t="s">
        <v>11</v>
      </c>
      <c r="I66" s="40" t="s">
        <v>54</v>
      </c>
      <c r="K66" s="203" t="s">
        <v>124</v>
      </c>
      <c r="L66" s="204"/>
      <c r="M66" s="204"/>
      <c r="N66" s="204"/>
      <c r="O66" s="204"/>
      <c r="P66" s="205"/>
    </row>
    <row r="67" spans="1:16" ht="45" x14ac:dyDescent="0.25">
      <c r="A67" s="47"/>
      <c r="B67" s="238" t="s">
        <v>55</v>
      </c>
      <c r="C67" s="238" t="s">
        <v>56</v>
      </c>
      <c r="D67" s="48">
        <v>1400</v>
      </c>
      <c r="F67" s="41" t="s">
        <v>114</v>
      </c>
      <c r="G67" s="2" t="s">
        <v>403</v>
      </c>
      <c r="H67" s="2" t="s">
        <v>404</v>
      </c>
      <c r="I67" s="45">
        <f>D84+D89*D73/D78</f>
        <v>87.246376811594203</v>
      </c>
      <c r="K67" s="313" t="s">
        <v>642</v>
      </c>
      <c r="L67" s="314"/>
      <c r="M67" s="314"/>
      <c r="N67" s="314"/>
      <c r="O67" s="314"/>
      <c r="P67" s="315"/>
    </row>
    <row r="68" spans="1:16" ht="45" x14ac:dyDescent="0.25">
      <c r="A68" s="41"/>
      <c r="B68" s="21" t="s">
        <v>614</v>
      </c>
      <c r="C68" s="21" t="s">
        <v>516</v>
      </c>
      <c r="D68" s="49">
        <v>280</v>
      </c>
      <c r="F68" s="41" t="s">
        <v>115</v>
      </c>
      <c r="G68" s="2" t="s">
        <v>62</v>
      </c>
      <c r="H68" s="21" t="s">
        <v>472</v>
      </c>
      <c r="I68" s="45">
        <f>D85+D89*D74/D78</f>
        <v>61.4975845410628</v>
      </c>
      <c r="K68" s="316" t="s">
        <v>643</v>
      </c>
      <c r="L68" s="311"/>
      <c r="M68" s="311"/>
      <c r="N68" s="311"/>
      <c r="O68" s="311"/>
      <c r="P68" s="312"/>
    </row>
    <row r="69" spans="1:16" ht="45" x14ac:dyDescent="0.25">
      <c r="A69" s="24"/>
      <c r="B69" s="21" t="s">
        <v>517</v>
      </c>
      <c r="C69" s="21" t="s">
        <v>518</v>
      </c>
      <c r="D69" s="60">
        <v>20</v>
      </c>
      <c r="F69" s="41" t="s">
        <v>117</v>
      </c>
      <c r="G69" s="2" t="s">
        <v>405</v>
      </c>
      <c r="H69" s="2" t="s">
        <v>406</v>
      </c>
      <c r="I69" s="45">
        <f>D86+D89*D75/D78</f>
        <v>100.1207729468599</v>
      </c>
      <c r="K69" s="240"/>
      <c r="L69" s="241"/>
      <c r="M69" s="224" t="s">
        <v>608</v>
      </c>
      <c r="N69" s="224" t="s">
        <v>608</v>
      </c>
      <c r="O69" s="224" t="s">
        <v>609</v>
      </c>
      <c r="P69" s="242" t="s">
        <v>609</v>
      </c>
    </row>
    <row r="70" spans="1:16" ht="45" x14ac:dyDescent="0.25">
      <c r="A70" s="24"/>
      <c r="B70" s="21" t="s">
        <v>59</v>
      </c>
      <c r="C70" s="21" t="s">
        <v>60</v>
      </c>
      <c r="D70" s="60">
        <v>50</v>
      </c>
      <c r="F70" s="41" t="s">
        <v>118</v>
      </c>
      <c r="G70" s="2" t="s">
        <v>72</v>
      </c>
      <c r="H70" s="112" t="s">
        <v>73</v>
      </c>
      <c r="I70" s="42">
        <f>D87+$D$89*D76/$D$78</f>
        <v>7.14975845410628</v>
      </c>
      <c r="K70" s="239" t="s">
        <v>521</v>
      </c>
      <c r="L70" s="206" t="s">
        <v>469</v>
      </c>
      <c r="M70" s="243" t="s">
        <v>36</v>
      </c>
      <c r="N70" s="206" t="s">
        <v>12</v>
      </c>
      <c r="O70" s="243" t="s">
        <v>36</v>
      </c>
      <c r="P70" s="244" t="s">
        <v>12</v>
      </c>
    </row>
    <row r="71" spans="1:16" ht="45" x14ac:dyDescent="0.25">
      <c r="A71" s="24"/>
      <c r="B71" s="21" t="s">
        <v>657</v>
      </c>
      <c r="C71" s="21" t="s">
        <v>658</v>
      </c>
      <c r="D71" s="60">
        <v>20</v>
      </c>
      <c r="F71" s="50" t="s">
        <v>57</v>
      </c>
      <c r="G71" s="3" t="s">
        <v>75</v>
      </c>
      <c r="H71" s="111" t="s">
        <v>76</v>
      </c>
      <c r="I71" s="46">
        <f>D88+$D$89*D77/$D$78</f>
        <v>318.98550724637681</v>
      </c>
      <c r="K71" s="245" t="s">
        <v>522</v>
      </c>
      <c r="L71" s="171" t="s">
        <v>477</v>
      </c>
      <c r="M71" s="224" t="s">
        <v>92</v>
      </c>
      <c r="N71" s="246">
        <f>D72*1000/D62</f>
        <v>6.0370370370370372</v>
      </c>
      <c r="O71" s="224" t="s">
        <v>531</v>
      </c>
      <c r="P71" s="182">
        <f>1000*(D72-D80)/D62</f>
        <v>5.9629629629629628</v>
      </c>
    </row>
    <row r="72" spans="1:16" ht="30" x14ac:dyDescent="0.25">
      <c r="A72" s="50" t="s">
        <v>63</v>
      </c>
      <c r="B72" s="31" t="s">
        <v>64</v>
      </c>
      <c r="C72" s="31" t="s">
        <v>65</v>
      </c>
      <c r="D72" s="63">
        <f>D67+D68+D69-D70-D71</f>
        <v>1630</v>
      </c>
      <c r="K72" s="245" t="s">
        <v>523</v>
      </c>
      <c r="L72" s="171" t="s">
        <v>185</v>
      </c>
      <c r="M72" s="224" t="s">
        <v>94</v>
      </c>
      <c r="N72" s="247">
        <f>I81*1000/D55</f>
        <v>2.4115416600064661</v>
      </c>
      <c r="O72" s="224" t="s">
        <v>532</v>
      </c>
      <c r="P72" s="248">
        <f>1000*(D73+I67)/D55</f>
        <v>2.3724637681159417</v>
      </c>
    </row>
    <row r="73" spans="1:16" ht="30" x14ac:dyDescent="0.25">
      <c r="A73" s="41"/>
      <c r="B73" s="21" t="s">
        <v>396</v>
      </c>
      <c r="C73" s="21" t="s">
        <v>395</v>
      </c>
      <c r="D73" s="49">
        <v>150</v>
      </c>
      <c r="F73" s="39" t="s">
        <v>36</v>
      </c>
      <c r="G73" s="26" t="s">
        <v>37</v>
      </c>
      <c r="H73" s="26" t="s">
        <v>11</v>
      </c>
      <c r="I73" s="40" t="s">
        <v>54</v>
      </c>
      <c r="K73" s="245" t="s">
        <v>520</v>
      </c>
      <c r="L73" s="171" t="s">
        <v>185</v>
      </c>
      <c r="M73" s="224" t="s">
        <v>97</v>
      </c>
      <c r="N73" s="247" t="str">
        <f>IFERROR(1000*I83/D57,"-")</f>
        <v>-</v>
      </c>
      <c r="O73" s="224" t="s">
        <v>533</v>
      </c>
      <c r="P73" s="248" t="str">
        <f>IFERROR(1000*(D74+I68)/D57,"-")</f>
        <v>-</v>
      </c>
    </row>
    <row r="74" spans="1:16" ht="30" x14ac:dyDescent="0.25">
      <c r="B74" s="21" t="s">
        <v>69</v>
      </c>
      <c r="C74" s="21" t="s">
        <v>70</v>
      </c>
      <c r="D74" s="49">
        <v>100</v>
      </c>
      <c r="F74" s="41" t="s">
        <v>58</v>
      </c>
      <c r="G74" s="2" t="s">
        <v>407</v>
      </c>
      <c r="H74" s="2" t="s">
        <v>435</v>
      </c>
      <c r="I74" s="42">
        <f>D80*I124/D108</f>
        <v>3.9077891890524064</v>
      </c>
      <c r="K74" s="245" t="s">
        <v>524</v>
      </c>
      <c r="L74" s="171" t="s">
        <v>185</v>
      </c>
      <c r="M74" s="224" t="s">
        <v>101</v>
      </c>
      <c r="N74" s="247" t="str">
        <f>IFERROR(1000*(I81/D55+I83/D57),"-")</f>
        <v>-</v>
      </c>
      <c r="O74" s="224" t="s">
        <v>534</v>
      </c>
      <c r="P74" s="248" t="str">
        <f>IFERROR(P72+P73,"-")</f>
        <v>-</v>
      </c>
    </row>
    <row r="75" spans="1:16" ht="30" x14ac:dyDescent="0.25">
      <c r="B75" s="21" t="s">
        <v>397</v>
      </c>
      <c r="C75" s="21" t="s">
        <v>398</v>
      </c>
      <c r="D75" s="49">
        <v>175</v>
      </c>
      <c r="F75" s="41" t="s">
        <v>61</v>
      </c>
      <c r="G75" s="2" t="s">
        <v>89</v>
      </c>
      <c r="H75" s="2" t="s">
        <v>391</v>
      </c>
      <c r="I75" s="42">
        <f>D80*I126/D108</f>
        <v>3.3230065515417273</v>
      </c>
      <c r="K75" s="245" t="s">
        <v>525</v>
      </c>
      <c r="L75" s="171" t="s">
        <v>185</v>
      </c>
      <c r="M75" s="224" t="s">
        <v>103</v>
      </c>
      <c r="N75" s="247">
        <f>1000*I82/D56</f>
        <v>1.3996723757617842</v>
      </c>
      <c r="O75" s="224" t="s">
        <v>535</v>
      </c>
      <c r="P75" s="249">
        <f>1000*(D75+I69)/D56</f>
        <v>1.3756038647342996</v>
      </c>
    </row>
    <row r="76" spans="1:16" ht="30" x14ac:dyDescent="0.25">
      <c r="A76" s="24"/>
      <c r="B76" s="21" t="s">
        <v>77</v>
      </c>
      <c r="C76" s="21" t="s">
        <v>78</v>
      </c>
      <c r="D76" s="110">
        <v>10</v>
      </c>
      <c r="F76" s="41" t="s">
        <v>66</v>
      </c>
      <c r="G76" s="2" t="s">
        <v>408</v>
      </c>
      <c r="H76" s="2" t="s">
        <v>409</v>
      </c>
      <c r="I76" s="42">
        <f>D80*I125/D108</f>
        <v>4.8137022054969334</v>
      </c>
      <c r="K76" s="245" t="s">
        <v>526</v>
      </c>
      <c r="L76" s="171" t="s">
        <v>474</v>
      </c>
      <c r="M76" s="224" t="s">
        <v>107</v>
      </c>
      <c r="N76" s="200">
        <f>1000*I85/D60</f>
        <v>3.4326465982790411</v>
      </c>
      <c r="O76" s="224" t="s">
        <v>536</v>
      </c>
      <c r="P76" s="249">
        <f>1000*(D77+I71)/D60</f>
        <v>3.4036500268384322</v>
      </c>
    </row>
    <row r="77" spans="1:16" ht="30" x14ac:dyDescent="0.25">
      <c r="A77" s="24"/>
      <c r="B77" s="21" t="s">
        <v>79</v>
      </c>
      <c r="C77" s="21" t="s">
        <v>80</v>
      </c>
      <c r="D77" s="110">
        <v>600</v>
      </c>
      <c r="F77" s="41" t="s">
        <v>67</v>
      </c>
      <c r="G77" s="2" t="s">
        <v>102</v>
      </c>
      <c r="H77" s="2" t="s">
        <v>392</v>
      </c>
      <c r="I77" s="42">
        <f>D80*I127/D108</f>
        <v>0.12642776494461255</v>
      </c>
      <c r="K77" s="245" t="s">
        <v>527</v>
      </c>
      <c r="L77" s="171" t="s">
        <v>474</v>
      </c>
      <c r="M77" s="224" t="s">
        <v>108</v>
      </c>
      <c r="N77" s="200">
        <f>IFERROR(1000*(I84/D58+I85/D60),"-")</f>
        <v>3.7781703226600589</v>
      </c>
      <c r="O77" s="224" t="s">
        <v>537</v>
      </c>
      <c r="P77" s="249">
        <f>IFERROR(1000*((D76+I70)/D58+(D77+I71)/D60),"-")</f>
        <v>3.746645195920558</v>
      </c>
    </row>
    <row r="78" spans="1:16" ht="30" x14ac:dyDescent="0.25">
      <c r="A78" s="41" t="s">
        <v>82</v>
      </c>
      <c r="B78" s="33" t="s">
        <v>83</v>
      </c>
      <c r="C78" s="33" t="s">
        <v>84</v>
      </c>
      <c r="D78" s="55">
        <f>SUM(D73:D77)</f>
        <v>1035</v>
      </c>
      <c r="F78" s="50" t="s">
        <v>68</v>
      </c>
      <c r="G78" s="3" t="s">
        <v>104</v>
      </c>
      <c r="H78" s="3" t="s">
        <v>393</v>
      </c>
      <c r="I78" s="43">
        <f>D80*I128/D108</f>
        <v>7.8290742889643221</v>
      </c>
      <c r="K78" s="245" t="s">
        <v>528</v>
      </c>
      <c r="L78" s="171" t="s">
        <v>474</v>
      </c>
      <c r="M78" s="224" t="s">
        <v>478</v>
      </c>
      <c r="N78" s="200">
        <f>N75+N76</f>
        <v>4.8323189740408257</v>
      </c>
      <c r="O78" s="224" t="s">
        <v>538</v>
      </c>
      <c r="P78" s="249">
        <f>P75+P76</f>
        <v>4.7792538915727318</v>
      </c>
    </row>
    <row r="79" spans="1:16" ht="45.75" thickBot="1" x14ac:dyDescent="0.3">
      <c r="A79" s="41"/>
      <c r="B79" s="21" t="s">
        <v>86</v>
      </c>
      <c r="C79" s="81" t="s">
        <v>87</v>
      </c>
      <c r="D79" s="49">
        <v>70</v>
      </c>
      <c r="K79" s="202" t="s">
        <v>125</v>
      </c>
      <c r="L79" s="250" t="s">
        <v>19</v>
      </c>
      <c r="M79" s="225" t="s">
        <v>529</v>
      </c>
      <c r="N79" s="180">
        <f>D68/D72</f>
        <v>0.17177914110429449</v>
      </c>
      <c r="O79" s="225" t="s">
        <v>539</v>
      </c>
      <c r="P79" s="251">
        <f>(D68+D69)/(D72-D80)</f>
        <v>0.18633540372670807</v>
      </c>
    </row>
    <row r="80" spans="1:16" ht="30" x14ac:dyDescent="0.25">
      <c r="A80" s="50"/>
      <c r="B80" s="162" t="s">
        <v>90</v>
      </c>
      <c r="C80" s="31" t="s">
        <v>91</v>
      </c>
      <c r="D80" s="53">
        <v>20</v>
      </c>
      <c r="E80" s="12"/>
      <c r="F80" s="39" t="s">
        <v>36</v>
      </c>
      <c r="G80" s="26" t="s">
        <v>37</v>
      </c>
      <c r="H80" s="27" t="s">
        <v>622</v>
      </c>
      <c r="I80" s="40" t="s">
        <v>54</v>
      </c>
    </row>
    <row r="81" spans="1:16" ht="15.75" x14ac:dyDescent="0.25">
      <c r="A81" s="50" t="s">
        <v>93</v>
      </c>
      <c r="B81" s="31" t="s">
        <v>463</v>
      </c>
      <c r="C81" s="31" t="s">
        <v>464</v>
      </c>
      <c r="D81" s="51">
        <f>D78+D79+D80</f>
        <v>1125</v>
      </c>
      <c r="E81" s="12"/>
      <c r="F81" s="47" t="s">
        <v>71</v>
      </c>
      <c r="G81" s="19" t="s">
        <v>116</v>
      </c>
      <c r="H81" s="114" t="s">
        <v>623</v>
      </c>
      <c r="I81" s="113">
        <f>D73+I67+I74</f>
        <v>241.1541660006466</v>
      </c>
    </row>
    <row r="82" spans="1:16" ht="30" x14ac:dyDescent="0.25">
      <c r="A82" s="75" t="s">
        <v>95</v>
      </c>
      <c r="B82" s="76" t="s">
        <v>96</v>
      </c>
      <c r="C82" s="179" t="s">
        <v>488</v>
      </c>
      <c r="D82" s="77">
        <f>D72-D81</f>
        <v>505</v>
      </c>
      <c r="E82" s="12"/>
      <c r="F82" s="41" t="s">
        <v>74</v>
      </c>
      <c r="G82" s="2" t="s">
        <v>410</v>
      </c>
      <c r="H82" s="74" t="s">
        <v>624</v>
      </c>
      <c r="I82" s="45">
        <f>D75+I69+I76</f>
        <v>279.93447515235687</v>
      </c>
    </row>
    <row r="83" spans="1:16" ht="30" x14ac:dyDescent="0.25">
      <c r="A83" s="75" t="s">
        <v>98</v>
      </c>
      <c r="B83" s="76" t="s">
        <v>99</v>
      </c>
      <c r="C83" s="76" t="s">
        <v>100</v>
      </c>
      <c r="D83" s="77">
        <f>D79+D82</f>
        <v>575</v>
      </c>
      <c r="E83" s="12"/>
      <c r="F83" s="41" t="s">
        <v>81</v>
      </c>
      <c r="G83" s="2" t="s">
        <v>121</v>
      </c>
      <c r="H83" s="2" t="s">
        <v>625</v>
      </c>
      <c r="I83" s="45">
        <f>D74+I68+I75</f>
        <v>164.82059109260453</v>
      </c>
    </row>
    <row r="84" spans="1:16" ht="45" x14ac:dyDescent="0.25">
      <c r="A84" s="41"/>
      <c r="B84" s="2" t="s">
        <v>400</v>
      </c>
      <c r="C84" s="2" t="s">
        <v>399</v>
      </c>
      <c r="D84" s="49">
        <v>10</v>
      </c>
      <c r="E84" s="12"/>
      <c r="F84" s="41" t="s">
        <v>85</v>
      </c>
      <c r="G84" s="2" t="s">
        <v>122</v>
      </c>
      <c r="H84" s="2" t="s">
        <v>626</v>
      </c>
      <c r="I84" s="45">
        <f>D76+I70+I77</f>
        <v>17.276186219050892</v>
      </c>
    </row>
    <row r="85" spans="1:16" ht="45" x14ac:dyDescent="0.25">
      <c r="B85" s="2" t="s">
        <v>105</v>
      </c>
      <c r="C85" s="2" t="s">
        <v>106</v>
      </c>
      <c r="D85" s="49">
        <v>10</v>
      </c>
      <c r="F85" s="50" t="s">
        <v>88</v>
      </c>
      <c r="G85" s="3" t="s">
        <v>123</v>
      </c>
      <c r="H85" s="3" t="s">
        <v>627</v>
      </c>
      <c r="I85" s="46">
        <f>D77+I71+I78</f>
        <v>926.81458153534106</v>
      </c>
    </row>
    <row r="86" spans="1:16" ht="45" x14ac:dyDescent="0.25">
      <c r="B86" s="2" t="s">
        <v>401</v>
      </c>
      <c r="C86" s="2" t="s">
        <v>402</v>
      </c>
      <c r="D86" s="49">
        <v>10</v>
      </c>
    </row>
    <row r="87" spans="1:16" ht="45" x14ac:dyDescent="0.25">
      <c r="A87" s="24"/>
      <c r="B87" s="2" t="s">
        <v>109</v>
      </c>
      <c r="C87" s="2" t="s">
        <v>110</v>
      </c>
      <c r="D87" s="60">
        <v>2</v>
      </c>
    </row>
    <row r="88" spans="1:16" ht="45" x14ac:dyDescent="0.25">
      <c r="A88" s="82"/>
      <c r="B88" s="3" t="s">
        <v>111</v>
      </c>
      <c r="C88" s="3" t="s">
        <v>112</v>
      </c>
      <c r="D88" s="134">
        <v>10</v>
      </c>
      <c r="E88" s="13"/>
      <c r="F88" s="78"/>
      <c r="G88" s="4"/>
      <c r="H88" s="79"/>
      <c r="I88" s="93"/>
    </row>
    <row r="89" spans="1:16" ht="30" x14ac:dyDescent="0.25">
      <c r="A89" s="50" t="s">
        <v>113</v>
      </c>
      <c r="B89" s="30" t="s">
        <v>119</v>
      </c>
      <c r="C89" s="30" t="s">
        <v>120</v>
      </c>
      <c r="D89" s="52">
        <f>D83-SUM(D84:D88)</f>
        <v>533</v>
      </c>
      <c r="E89" s="13"/>
    </row>
    <row r="90" spans="1:16" x14ac:dyDescent="0.25">
      <c r="E90" s="13"/>
    </row>
    <row r="91" spans="1:16" x14ac:dyDescent="0.25">
      <c r="A91" s="6"/>
      <c r="B91" s="6"/>
      <c r="C91" s="6"/>
      <c r="D91" s="6"/>
      <c r="E91" s="14"/>
      <c r="F91" s="195"/>
      <c r="G91" s="196"/>
      <c r="H91" s="196"/>
      <c r="I91" s="197"/>
      <c r="J91" s="198"/>
      <c r="K91" s="198"/>
      <c r="L91" s="198"/>
      <c r="M91" s="198"/>
      <c r="N91" s="198"/>
      <c r="O91" s="198"/>
      <c r="P91" s="198"/>
    </row>
    <row r="92" spans="1:16" ht="32.25" thickBot="1" x14ac:dyDescent="0.4">
      <c r="A92" s="54" t="s">
        <v>126</v>
      </c>
      <c r="C92" s="292" t="s">
        <v>666</v>
      </c>
    </row>
    <row r="93" spans="1:16" ht="21" x14ac:dyDescent="0.35">
      <c r="A93" s="39" t="s">
        <v>36</v>
      </c>
      <c r="B93" s="26" t="s">
        <v>37</v>
      </c>
      <c r="C93" s="26" t="s">
        <v>11</v>
      </c>
      <c r="D93" s="40" t="s">
        <v>54</v>
      </c>
      <c r="F93" s="39" t="s">
        <v>36</v>
      </c>
      <c r="G93" s="26" t="s">
        <v>37</v>
      </c>
      <c r="H93" s="26" t="s">
        <v>11</v>
      </c>
      <c r="I93" s="40" t="s">
        <v>54</v>
      </c>
      <c r="K93" s="209" t="s">
        <v>124</v>
      </c>
      <c r="L93" s="210"/>
      <c r="M93" s="211"/>
      <c r="N93" s="212"/>
      <c r="O93" s="199"/>
    </row>
    <row r="94" spans="1:16" ht="30" x14ac:dyDescent="0.25">
      <c r="A94" s="47"/>
      <c r="B94" s="19" t="s">
        <v>127</v>
      </c>
      <c r="C94" s="19" t="s">
        <v>490</v>
      </c>
      <c r="D94" s="48">
        <v>2400</v>
      </c>
      <c r="F94" s="223"/>
      <c r="G94" s="2" t="s">
        <v>418</v>
      </c>
      <c r="H94" s="2" t="s">
        <v>419</v>
      </c>
      <c r="I94" s="49">
        <v>250</v>
      </c>
      <c r="K94" s="254" t="s">
        <v>540</v>
      </c>
      <c r="L94" s="206" t="s">
        <v>469</v>
      </c>
      <c r="M94" s="243" t="s">
        <v>36</v>
      </c>
      <c r="N94" s="255" t="s">
        <v>12</v>
      </c>
    </row>
    <row r="95" spans="1:16" ht="45" x14ac:dyDescent="0.25">
      <c r="A95" s="41"/>
      <c r="B95" s="21" t="s">
        <v>129</v>
      </c>
      <c r="C95" s="21" t="s">
        <v>489</v>
      </c>
      <c r="D95" s="49">
        <v>800</v>
      </c>
      <c r="F95" s="223"/>
      <c r="G95" s="2" t="s">
        <v>186</v>
      </c>
      <c r="H95" s="2" t="s">
        <v>187</v>
      </c>
      <c r="I95" s="49">
        <v>200</v>
      </c>
      <c r="K95" s="216" t="s">
        <v>541</v>
      </c>
      <c r="L95" s="171" t="s">
        <v>477</v>
      </c>
      <c r="M95" s="224" t="s">
        <v>130</v>
      </c>
      <c r="N95" s="182">
        <f>D108*1000/D62</f>
        <v>11.533333333333333</v>
      </c>
    </row>
    <row r="96" spans="1:16" ht="30" x14ac:dyDescent="0.25">
      <c r="A96" s="24"/>
      <c r="B96" s="21" t="s">
        <v>131</v>
      </c>
      <c r="C96" s="21" t="s">
        <v>132</v>
      </c>
      <c r="D96" s="49">
        <v>30</v>
      </c>
      <c r="F96" s="223"/>
      <c r="G96" s="2" t="s">
        <v>421</v>
      </c>
      <c r="H96" s="2" t="s">
        <v>420</v>
      </c>
      <c r="I96" s="49">
        <v>100</v>
      </c>
      <c r="K96" s="216" t="s">
        <v>523</v>
      </c>
      <c r="L96" s="171" t="s">
        <v>185</v>
      </c>
      <c r="M96" s="224" t="s">
        <v>133</v>
      </c>
      <c r="N96" s="182">
        <f>I124*1000/D55</f>
        <v>6.0844277673545966</v>
      </c>
    </row>
    <row r="97" spans="1:14" ht="30" x14ac:dyDescent="0.25">
      <c r="A97" s="41"/>
      <c r="B97" s="2" t="s">
        <v>136</v>
      </c>
      <c r="C97" s="21" t="s">
        <v>137</v>
      </c>
      <c r="D97" s="49">
        <v>5</v>
      </c>
      <c r="F97" s="41"/>
      <c r="G97" s="74" t="s">
        <v>188</v>
      </c>
      <c r="H97" s="74" t="s">
        <v>189</v>
      </c>
      <c r="I97" s="49">
        <v>0</v>
      </c>
      <c r="K97" s="216" t="s">
        <v>543</v>
      </c>
      <c r="L97" s="171" t="s">
        <v>185</v>
      </c>
      <c r="M97" s="224" t="s">
        <v>138</v>
      </c>
      <c r="N97" s="182" t="str">
        <f>IFERROR(1000*I126/D57,"-")</f>
        <v>-</v>
      </c>
    </row>
    <row r="98" spans="1:14" ht="30" x14ac:dyDescent="0.25">
      <c r="A98" s="41"/>
      <c r="B98" s="2" t="s">
        <v>139</v>
      </c>
      <c r="C98" s="21" t="s">
        <v>456</v>
      </c>
      <c r="D98" s="49">
        <v>10</v>
      </c>
      <c r="F98" s="41"/>
      <c r="G98" s="74" t="s">
        <v>190</v>
      </c>
      <c r="H98" s="74" t="s">
        <v>191</v>
      </c>
      <c r="I98" s="49">
        <v>0</v>
      </c>
      <c r="K98" s="216" t="s">
        <v>524</v>
      </c>
      <c r="L98" s="171" t="s">
        <v>185</v>
      </c>
      <c r="M98" s="224" t="s">
        <v>140</v>
      </c>
      <c r="N98" s="182" t="str">
        <f>IFERROR(1000*(I124/D55+I126/D57),"-")</f>
        <v>-</v>
      </c>
    </row>
    <row r="99" spans="1:14" x14ac:dyDescent="0.25">
      <c r="A99" s="41"/>
      <c r="B99" s="2" t="s">
        <v>141</v>
      </c>
      <c r="C99" s="21" t="s">
        <v>142</v>
      </c>
      <c r="D99" s="49">
        <v>1</v>
      </c>
      <c r="F99" s="41"/>
      <c r="G99" s="74" t="s">
        <v>422</v>
      </c>
      <c r="H99" s="81" t="s">
        <v>423</v>
      </c>
      <c r="I99" s="49">
        <v>200</v>
      </c>
      <c r="K99" s="216" t="s">
        <v>525</v>
      </c>
      <c r="L99" s="171" t="s">
        <v>185</v>
      </c>
      <c r="M99" s="224" t="s">
        <v>143</v>
      </c>
      <c r="N99" s="182">
        <f>I125*1000/D56</f>
        <v>3.7474671669793622</v>
      </c>
    </row>
    <row r="100" spans="1:14" ht="30" x14ac:dyDescent="0.25">
      <c r="A100" s="41" t="s">
        <v>144</v>
      </c>
      <c r="B100" s="29" t="s">
        <v>411</v>
      </c>
      <c r="C100" s="33" t="s">
        <v>412</v>
      </c>
      <c r="D100" s="55">
        <f>SUM(D94:D99)</f>
        <v>3246</v>
      </c>
      <c r="F100" s="41"/>
      <c r="G100" s="74" t="s">
        <v>192</v>
      </c>
      <c r="H100" s="81" t="s">
        <v>193</v>
      </c>
      <c r="I100" s="49">
        <v>0</v>
      </c>
      <c r="K100" s="216" t="s">
        <v>526</v>
      </c>
      <c r="L100" s="171" t="s">
        <v>474</v>
      </c>
      <c r="M100" s="224" t="s">
        <v>145</v>
      </c>
      <c r="N100" s="182">
        <f>1000*I128/D60</f>
        <v>4.5147661733027586</v>
      </c>
    </row>
    <row r="101" spans="1:14" ht="30" x14ac:dyDescent="0.25">
      <c r="A101" s="41"/>
      <c r="B101" s="2" t="s">
        <v>152</v>
      </c>
      <c r="C101" s="21" t="s">
        <v>153</v>
      </c>
      <c r="D101" s="49">
        <v>5</v>
      </c>
      <c r="F101" s="41"/>
      <c r="G101" s="74" t="s">
        <v>425</v>
      </c>
      <c r="H101" s="81" t="s">
        <v>424</v>
      </c>
      <c r="I101" s="49">
        <v>250</v>
      </c>
      <c r="K101" s="256" t="s">
        <v>527</v>
      </c>
      <c r="L101" s="171" t="s">
        <v>474</v>
      </c>
      <c r="M101" s="224" t="s">
        <v>479</v>
      </c>
      <c r="N101" s="182">
        <f>IFERROR(1000*(I127/D58+I128/D60),"-")</f>
        <v>4.9084622333402823</v>
      </c>
    </row>
    <row r="102" spans="1:14" ht="15.75" thickBot="1" x14ac:dyDescent="0.3">
      <c r="A102" s="41"/>
      <c r="B102" s="2" t="s">
        <v>653</v>
      </c>
      <c r="C102" s="21" t="s">
        <v>155</v>
      </c>
      <c r="D102" s="49">
        <v>50</v>
      </c>
      <c r="F102" s="41"/>
      <c r="G102" s="74" t="s">
        <v>194</v>
      </c>
      <c r="H102" s="81" t="s">
        <v>195</v>
      </c>
      <c r="I102" s="49">
        <v>0</v>
      </c>
      <c r="K102" s="214" t="s">
        <v>542</v>
      </c>
      <c r="L102" s="250" t="s">
        <v>474</v>
      </c>
      <c r="M102" s="225" t="s">
        <v>544</v>
      </c>
      <c r="N102" s="181">
        <f>N99+N100</f>
        <v>8.2622333402821209</v>
      </c>
    </row>
    <row r="103" spans="1:14" ht="45" x14ac:dyDescent="0.25">
      <c r="A103" s="41"/>
      <c r="B103" s="21" t="s">
        <v>154</v>
      </c>
      <c r="C103" s="21" t="s">
        <v>659</v>
      </c>
      <c r="D103" s="60">
        <v>4</v>
      </c>
      <c r="F103" s="41"/>
      <c r="G103" s="74" t="s">
        <v>196</v>
      </c>
      <c r="H103" s="81" t="s">
        <v>197</v>
      </c>
      <c r="I103" s="49">
        <v>10</v>
      </c>
    </row>
    <row r="104" spans="1:14" ht="45" x14ac:dyDescent="0.25">
      <c r="A104" s="50" t="s">
        <v>150</v>
      </c>
      <c r="B104" s="31" t="s">
        <v>157</v>
      </c>
      <c r="C104" s="31" t="s">
        <v>158</v>
      </c>
      <c r="D104" s="51">
        <f>D100+D101-D102-D103</f>
        <v>3197</v>
      </c>
      <c r="F104" s="50" t="s">
        <v>183</v>
      </c>
      <c r="G104" s="30" t="s">
        <v>199</v>
      </c>
      <c r="H104" s="31" t="s">
        <v>491</v>
      </c>
      <c r="I104" s="52">
        <f>SUM(I94:I98)-SUM(I99:I103)-D106-D107</f>
        <v>7</v>
      </c>
    </row>
    <row r="105" spans="1:14" x14ac:dyDescent="0.25">
      <c r="A105" s="75"/>
      <c r="B105" s="253" t="s">
        <v>550</v>
      </c>
      <c r="C105" s="253" t="s">
        <v>551</v>
      </c>
      <c r="D105" s="257">
        <v>150</v>
      </c>
    </row>
    <row r="106" spans="1:14" x14ac:dyDescent="0.25">
      <c r="A106" s="41"/>
      <c r="B106" s="21" t="s">
        <v>654</v>
      </c>
      <c r="C106" s="21" t="s">
        <v>160</v>
      </c>
      <c r="D106" s="49">
        <v>80</v>
      </c>
      <c r="F106" s="39" t="s">
        <v>36</v>
      </c>
      <c r="G106" s="26" t="s">
        <v>37</v>
      </c>
      <c r="H106" s="26" t="s">
        <v>11</v>
      </c>
      <c r="I106" s="40" t="s">
        <v>54</v>
      </c>
    </row>
    <row r="107" spans="1:14" ht="45" x14ac:dyDescent="0.25">
      <c r="A107" s="41"/>
      <c r="B107" s="21" t="s">
        <v>159</v>
      </c>
      <c r="C107" s="21" t="s">
        <v>660</v>
      </c>
      <c r="D107" s="60">
        <v>3</v>
      </c>
      <c r="F107" s="252" t="s">
        <v>198</v>
      </c>
      <c r="G107" s="33" t="s">
        <v>205</v>
      </c>
      <c r="H107" s="33" t="s">
        <v>206</v>
      </c>
      <c r="I107" s="55">
        <f>D115+D116+D118+I104</f>
        <v>539</v>
      </c>
    </row>
    <row r="108" spans="1:14" ht="45" x14ac:dyDescent="0.25">
      <c r="A108" s="50" t="s">
        <v>156</v>
      </c>
      <c r="B108" s="31" t="s">
        <v>162</v>
      </c>
      <c r="C108" s="31" t="s">
        <v>163</v>
      </c>
      <c r="D108" s="63">
        <f>D104-D106-D107</f>
        <v>3114</v>
      </c>
      <c r="F108" s="41"/>
      <c r="G108" s="2" t="s">
        <v>429</v>
      </c>
      <c r="H108" s="21" t="s">
        <v>426</v>
      </c>
      <c r="I108" s="60">
        <v>10</v>
      </c>
    </row>
    <row r="109" spans="1:14" ht="60" x14ac:dyDescent="0.25">
      <c r="A109" s="41"/>
      <c r="B109" s="2" t="s">
        <v>417</v>
      </c>
      <c r="C109" s="21" t="s">
        <v>414</v>
      </c>
      <c r="D109" s="49">
        <v>550</v>
      </c>
      <c r="F109" s="223"/>
      <c r="G109" s="2" t="s">
        <v>207</v>
      </c>
      <c r="H109" s="21" t="s">
        <v>208</v>
      </c>
      <c r="I109" s="60">
        <v>10</v>
      </c>
    </row>
    <row r="110" spans="1:14" ht="45" x14ac:dyDescent="0.25">
      <c r="B110" s="2" t="s">
        <v>164</v>
      </c>
      <c r="C110" s="2" t="s">
        <v>165</v>
      </c>
      <c r="D110" s="49">
        <v>600</v>
      </c>
      <c r="E110" s="35"/>
      <c r="F110" s="41"/>
      <c r="G110" s="74" t="s">
        <v>430</v>
      </c>
      <c r="H110" s="21" t="s">
        <v>427</v>
      </c>
      <c r="I110" s="60">
        <v>10</v>
      </c>
    </row>
    <row r="111" spans="1:14" ht="45" x14ac:dyDescent="0.25">
      <c r="B111" s="2" t="s">
        <v>416</v>
      </c>
      <c r="C111" s="2" t="s">
        <v>415</v>
      </c>
      <c r="D111" s="49">
        <v>500</v>
      </c>
      <c r="E111" s="35"/>
      <c r="F111" s="41"/>
      <c r="G111" s="2" t="s">
        <v>209</v>
      </c>
      <c r="H111" s="21" t="s">
        <v>428</v>
      </c>
      <c r="I111" s="49">
        <v>2</v>
      </c>
    </row>
    <row r="112" spans="1:14" ht="45" x14ac:dyDescent="0.25">
      <c r="A112" s="24"/>
      <c r="B112" s="2" t="s">
        <v>167</v>
      </c>
      <c r="C112" s="2" t="s">
        <v>168</v>
      </c>
      <c r="D112" s="60">
        <v>15</v>
      </c>
      <c r="E112" s="35"/>
      <c r="F112" s="50"/>
      <c r="G112" s="3" t="s">
        <v>210</v>
      </c>
      <c r="H112" s="3" t="s">
        <v>211</v>
      </c>
      <c r="I112" s="53">
        <v>30</v>
      </c>
    </row>
    <row r="113" spans="1:10" ht="30" x14ac:dyDescent="0.25">
      <c r="A113" s="24"/>
      <c r="B113" s="2" t="s">
        <v>169</v>
      </c>
      <c r="C113" s="2" t="s">
        <v>170</v>
      </c>
      <c r="D113" s="60">
        <v>1000</v>
      </c>
      <c r="E113" s="35"/>
      <c r="F113" s="50" t="s">
        <v>200</v>
      </c>
      <c r="G113" s="30" t="s">
        <v>217</v>
      </c>
      <c r="H113" s="3" t="s">
        <v>218</v>
      </c>
      <c r="I113" s="51">
        <f>I107-SUM(I108:I112)</f>
        <v>477</v>
      </c>
    </row>
    <row r="114" spans="1:10" ht="30" x14ac:dyDescent="0.25">
      <c r="A114" s="50" t="s">
        <v>161</v>
      </c>
      <c r="B114" s="30" t="s">
        <v>172</v>
      </c>
      <c r="C114" s="31" t="s">
        <v>173</v>
      </c>
      <c r="D114" s="51">
        <f>SUM(D109:D113)</f>
        <v>2665</v>
      </c>
      <c r="E114" s="37"/>
    </row>
    <row r="115" spans="1:10" ht="60" x14ac:dyDescent="0.25">
      <c r="A115" s="47"/>
      <c r="B115" s="19" t="s">
        <v>174</v>
      </c>
      <c r="C115" s="81" t="s">
        <v>175</v>
      </c>
      <c r="D115" s="48">
        <v>100</v>
      </c>
      <c r="E115" s="37"/>
      <c r="F115" s="39" t="s">
        <v>36</v>
      </c>
      <c r="G115" s="26" t="s">
        <v>37</v>
      </c>
      <c r="H115" s="26" t="s">
        <v>11</v>
      </c>
      <c r="I115" s="40" t="s">
        <v>54</v>
      </c>
    </row>
    <row r="116" spans="1:10" ht="45" x14ac:dyDescent="0.25">
      <c r="A116" s="41"/>
      <c r="B116" s="2" t="s">
        <v>177</v>
      </c>
      <c r="C116" s="21" t="s">
        <v>178</v>
      </c>
      <c r="D116" s="49">
        <v>30</v>
      </c>
      <c r="F116" s="41" t="s">
        <v>201</v>
      </c>
      <c r="G116" s="2" t="s">
        <v>433</v>
      </c>
      <c r="H116" s="2" t="s">
        <v>431</v>
      </c>
      <c r="I116" s="45">
        <f>I108+I113*D109/D114</f>
        <v>108.44277673545966</v>
      </c>
    </row>
    <row r="117" spans="1:10" ht="45" x14ac:dyDescent="0.25">
      <c r="A117" s="41" t="s">
        <v>171</v>
      </c>
      <c r="B117" s="29" t="s">
        <v>181</v>
      </c>
      <c r="C117" s="33" t="s">
        <v>182</v>
      </c>
      <c r="D117" s="55">
        <f>D114+D115+D116</f>
        <v>2795</v>
      </c>
      <c r="E117" s="36"/>
      <c r="F117" s="41" t="s">
        <v>202</v>
      </c>
      <c r="G117" s="2" t="s">
        <v>134</v>
      </c>
      <c r="H117" s="2" t="s">
        <v>135</v>
      </c>
      <c r="I117" s="45">
        <f>I109+I113*D110/D114</f>
        <v>117.3921200750469</v>
      </c>
    </row>
    <row r="118" spans="1:10" ht="45" x14ac:dyDescent="0.25">
      <c r="A118" s="82" t="s">
        <v>180</v>
      </c>
      <c r="B118" s="30" t="s">
        <v>184</v>
      </c>
      <c r="C118" s="31" t="s">
        <v>615</v>
      </c>
      <c r="D118" s="52">
        <f>D104-D117</f>
        <v>402</v>
      </c>
      <c r="E118" s="38"/>
      <c r="F118" s="41" t="s">
        <v>203</v>
      </c>
      <c r="G118" s="2" t="s">
        <v>434</v>
      </c>
      <c r="H118" s="2" t="s">
        <v>432</v>
      </c>
      <c r="I118" s="45">
        <f>I110+I113*D111/D114</f>
        <v>99.493433395872415</v>
      </c>
    </row>
    <row r="119" spans="1:10" ht="45" x14ac:dyDescent="0.25">
      <c r="F119" s="41" t="s">
        <v>204</v>
      </c>
      <c r="G119" s="2" t="s">
        <v>146</v>
      </c>
      <c r="H119" s="2" t="s">
        <v>147</v>
      </c>
      <c r="I119" s="115">
        <f>I111+$I$113*D112/$D$114</f>
        <v>4.6848030018761726</v>
      </c>
    </row>
    <row r="120" spans="1:10" ht="45" x14ac:dyDescent="0.25">
      <c r="F120" s="41" t="s">
        <v>212</v>
      </c>
      <c r="G120" s="2" t="s">
        <v>148</v>
      </c>
      <c r="H120" s="2" t="s">
        <v>149</v>
      </c>
      <c r="I120" s="116">
        <f>I112+$I$113*D113/$D$114</f>
        <v>208.98686679174483</v>
      </c>
    </row>
    <row r="121" spans="1:10" x14ac:dyDescent="0.25">
      <c r="F121" s="20"/>
      <c r="G121" s="3"/>
      <c r="H121" s="83" t="s">
        <v>151</v>
      </c>
      <c r="I121" s="84">
        <f>SUM(I116:I120)-I107</f>
        <v>0</v>
      </c>
    </row>
    <row r="123" spans="1:10" x14ac:dyDescent="0.25">
      <c r="F123" s="39" t="s">
        <v>36</v>
      </c>
      <c r="G123" s="26" t="s">
        <v>37</v>
      </c>
      <c r="H123" s="27" t="s">
        <v>628</v>
      </c>
      <c r="I123" s="40" t="s">
        <v>54</v>
      </c>
    </row>
    <row r="124" spans="1:10" x14ac:dyDescent="0.25">
      <c r="F124" s="41" t="s">
        <v>213</v>
      </c>
      <c r="G124" s="2" t="s">
        <v>166</v>
      </c>
      <c r="H124" s="2" t="s">
        <v>623</v>
      </c>
      <c r="I124" s="56">
        <f>D109+I116+I99-I94</f>
        <v>608.44277673545969</v>
      </c>
    </row>
    <row r="125" spans="1:10" x14ac:dyDescent="0.25">
      <c r="F125" s="41" t="s">
        <v>214</v>
      </c>
      <c r="G125" s="2" t="s">
        <v>413</v>
      </c>
      <c r="H125" s="2" t="s">
        <v>629</v>
      </c>
      <c r="I125" s="56">
        <f>D111+I118+I101-I96</f>
        <v>749.49343339587244</v>
      </c>
      <c r="J125"/>
    </row>
    <row r="126" spans="1:10" x14ac:dyDescent="0.25">
      <c r="F126" s="41" t="s">
        <v>215</v>
      </c>
      <c r="G126" s="2" t="s">
        <v>356</v>
      </c>
      <c r="H126" s="2" t="s">
        <v>625</v>
      </c>
      <c r="I126" s="56">
        <f>D110+I117+I100-I95</f>
        <v>517.39212007504693</v>
      </c>
      <c r="J126"/>
    </row>
    <row r="127" spans="1:10" x14ac:dyDescent="0.25">
      <c r="F127" s="41" t="s">
        <v>216</v>
      </c>
      <c r="G127" s="2" t="s">
        <v>176</v>
      </c>
      <c r="H127" s="2" t="s">
        <v>626</v>
      </c>
      <c r="I127" s="56">
        <f>D112+I119+I102-I97</f>
        <v>19.684803001876173</v>
      </c>
      <c r="J127"/>
    </row>
    <row r="128" spans="1:10" x14ac:dyDescent="0.25">
      <c r="F128" s="50" t="s">
        <v>128</v>
      </c>
      <c r="G128" s="3" t="s">
        <v>179</v>
      </c>
      <c r="H128" s="3" t="s">
        <v>627</v>
      </c>
      <c r="I128" s="51">
        <f>D113+I120+I103-I98</f>
        <v>1218.9868667917449</v>
      </c>
      <c r="J128"/>
    </row>
    <row r="129" spans="1:16" x14ac:dyDescent="0.25">
      <c r="K129" s="21"/>
      <c r="L129" s="21"/>
      <c r="M129"/>
      <c r="N129" s="21"/>
      <c r="O129" s="21"/>
    </row>
    <row r="130" spans="1:16" x14ac:dyDescent="0.25">
      <c r="A130" s="6"/>
      <c r="B130" s="6"/>
      <c r="C130" s="6"/>
      <c r="D130" s="6"/>
      <c r="E130" s="6"/>
      <c r="F130" s="6"/>
      <c r="G130" s="6"/>
      <c r="H130" s="6"/>
      <c r="I130" s="6"/>
      <c r="J130" s="6"/>
      <c r="K130" s="6"/>
      <c r="L130" s="6"/>
      <c r="M130" s="6"/>
      <c r="N130" s="6"/>
      <c r="O130" s="6"/>
      <c r="P130" s="6"/>
    </row>
    <row r="131" spans="1:16" ht="21.75" thickBot="1" x14ac:dyDescent="0.4">
      <c r="A131" s="59" t="s">
        <v>476</v>
      </c>
      <c r="C131" s="9"/>
      <c r="D131" s="3"/>
      <c r="E131" s="15"/>
    </row>
    <row r="132" spans="1:16" ht="21" x14ac:dyDescent="0.35">
      <c r="A132" s="39" t="s">
        <v>36</v>
      </c>
      <c r="B132" s="26" t="s">
        <v>37</v>
      </c>
      <c r="C132" s="26" t="s">
        <v>11</v>
      </c>
      <c r="D132" s="40" t="s">
        <v>54</v>
      </c>
      <c r="E132" s="15"/>
      <c r="F132" s="57" t="s">
        <v>36</v>
      </c>
      <c r="G132" s="23" t="s">
        <v>37</v>
      </c>
      <c r="H132" s="23" t="s">
        <v>11</v>
      </c>
      <c r="I132" s="58" t="s">
        <v>54</v>
      </c>
      <c r="K132" s="209" t="s">
        <v>124</v>
      </c>
      <c r="L132" s="204"/>
      <c r="M132" s="204"/>
      <c r="N132" s="204"/>
      <c r="O132" s="204"/>
      <c r="P132" s="205"/>
    </row>
    <row r="133" spans="1:16" ht="15.75" customHeight="1" x14ac:dyDescent="0.25">
      <c r="A133" s="78"/>
      <c r="B133" s="4"/>
      <c r="C133" s="28" t="s">
        <v>492</v>
      </c>
      <c r="D133" s="58"/>
      <c r="E133" s="15"/>
      <c r="F133" s="291"/>
      <c r="G133" s="19"/>
      <c r="H133" s="28" t="s">
        <v>640</v>
      </c>
      <c r="I133" s="290"/>
      <c r="J133" s="34"/>
      <c r="K133" s="320" t="s">
        <v>644</v>
      </c>
      <c r="L133" s="321"/>
      <c r="M133" s="321"/>
      <c r="N133" s="321"/>
      <c r="O133" s="321"/>
      <c r="P133" s="322"/>
    </row>
    <row r="134" spans="1:16" ht="30.75" customHeight="1" x14ac:dyDescent="0.25">
      <c r="A134" s="24"/>
      <c r="B134" s="2" t="s">
        <v>462</v>
      </c>
      <c r="C134" s="2" t="s">
        <v>493</v>
      </c>
      <c r="D134" s="60">
        <v>2985</v>
      </c>
      <c r="F134" s="279"/>
      <c r="G134" s="21" t="s">
        <v>552</v>
      </c>
      <c r="H134" s="21" t="s">
        <v>553</v>
      </c>
      <c r="I134" s="60">
        <v>6</v>
      </c>
      <c r="K134" s="310" t="s">
        <v>645</v>
      </c>
      <c r="L134" s="311"/>
      <c r="M134" s="311"/>
      <c r="N134" s="311"/>
      <c r="O134" s="311"/>
      <c r="P134" s="312"/>
    </row>
    <row r="135" spans="1:16" ht="45.75" x14ac:dyDescent="0.3">
      <c r="A135" s="24"/>
      <c r="B135" s="2" t="s">
        <v>219</v>
      </c>
      <c r="C135" s="2" t="s">
        <v>220</v>
      </c>
      <c r="D135" s="60">
        <v>30</v>
      </c>
      <c r="F135" s="279"/>
      <c r="G135" s="21" t="s">
        <v>638</v>
      </c>
      <c r="H135" s="21" t="s">
        <v>639</v>
      </c>
      <c r="I135" s="60">
        <v>3</v>
      </c>
      <c r="K135" s="258"/>
      <c r="L135" s="259"/>
      <c r="M135" s="224" t="s">
        <v>608</v>
      </c>
      <c r="N135" s="260" t="s">
        <v>608</v>
      </c>
      <c r="O135" s="224" t="s">
        <v>609</v>
      </c>
      <c r="P135" s="242" t="s">
        <v>609</v>
      </c>
    </row>
    <row r="136" spans="1:16" ht="30" x14ac:dyDescent="0.25">
      <c r="A136" s="24"/>
      <c r="B136" s="2" t="s">
        <v>221</v>
      </c>
      <c r="C136" s="2" t="s">
        <v>222</v>
      </c>
      <c r="D136" s="60">
        <v>10</v>
      </c>
      <c r="E136" s="12"/>
      <c r="F136" s="252" t="s">
        <v>235</v>
      </c>
      <c r="G136" s="33" t="s">
        <v>636</v>
      </c>
      <c r="H136" s="33" t="s">
        <v>637</v>
      </c>
      <c r="I136" s="62">
        <f>I134+I135</f>
        <v>9</v>
      </c>
      <c r="K136" s="261" t="s">
        <v>569</v>
      </c>
      <c r="L136" s="217" t="s">
        <v>469</v>
      </c>
      <c r="M136" s="243" t="s">
        <v>36</v>
      </c>
      <c r="N136" s="217" t="s">
        <v>12</v>
      </c>
      <c r="O136" s="243" t="s">
        <v>36</v>
      </c>
      <c r="P136" s="244" t="s">
        <v>12</v>
      </c>
    </row>
    <row r="137" spans="1:16" ht="45" x14ac:dyDescent="0.25">
      <c r="A137" s="24" t="s">
        <v>226</v>
      </c>
      <c r="B137" s="29" t="s">
        <v>227</v>
      </c>
      <c r="C137" s="29" t="s">
        <v>228</v>
      </c>
      <c r="D137" s="55">
        <f>D134+D135-D136</f>
        <v>3005</v>
      </c>
      <c r="F137" s="268"/>
      <c r="G137" s="162" t="s">
        <v>497</v>
      </c>
      <c r="H137" s="162" t="s">
        <v>496</v>
      </c>
      <c r="I137" s="134">
        <v>2</v>
      </c>
      <c r="J137" s="34"/>
      <c r="K137" s="216" t="s">
        <v>522</v>
      </c>
      <c r="L137" s="218" t="s">
        <v>477</v>
      </c>
      <c r="M137" s="224" t="s">
        <v>559</v>
      </c>
      <c r="N137" s="262">
        <f>I140*1000/D62</f>
        <v>12.147058823529411</v>
      </c>
      <c r="O137" s="224" t="s">
        <v>571</v>
      </c>
      <c r="P137" s="248">
        <f>1000*I158/D62</f>
        <v>0.62592592592592589</v>
      </c>
    </row>
    <row r="138" spans="1:16" x14ac:dyDescent="0.25">
      <c r="A138" s="24"/>
      <c r="C138" s="29" t="s">
        <v>229</v>
      </c>
      <c r="D138" s="66">
        <f>D137-D141-D154</f>
        <v>0</v>
      </c>
      <c r="K138" s="216" t="s">
        <v>523</v>
      </c>
      <c r="L138" s="218" t="s">
        <v>185</v>
      </c>
      <c r="M138" s="224" t="s">
        <v>561</v>
      </c>
      <c r="N138" s="262">
        <f>I150*1000/D55</f>
        <v>7.1055764600410116</v>
      </c>
      <c r="O138" s="224" t="s">
        <v>572</v>
      </c>
      <c r="P138" s="248">
        <f>1000*I159/D55</f>
        <v>1.1000000000000001</v>
      </c>
    </row>
    <row r="139" spans="1:16" ht="30" x14ac:dyDescent="0.25">
      <c r="A139" s="57"/>
      <c r="B139" s="23"/>
      <c r="C139" s="85" t="s">
        <v>230</v>
      </c>
      <c r="D139" s="58"/>
      <c r="F139" s="39" t="s">
        <v>36</v>
      </c>
      <c r="G139" s="26" t="s">
        <v>37</v>
      </c>
      <c r="H139" s="26" t="s">
        <v>11</v>
      </c>
      <c r="I139" s="40" t="s">
        <v>54</v>
      </c>
      <c r="K139" s="216" t="s">
        <v>603</v>
      </c>
      <c r="L139" s="218" t="s">
        <v>185</v>
      </c>
      <c r="M139" s="224" t="s">
        <v>562</v>
      </c>
      <c r="N139" s="262" t="str">
        <f>IFERROR(1000*I152/D57,"-")</f>
        <v>-</v>
      </c>
      <c r="O139" s="224" t="s">
        <v>573</v>
      </c>
      <c r="P139" s="248" t="str">
        <f>IFERROR(1000*I161/D57,"-")</f>
        <v>-</v>
      </c>
    </row>
    <row r="140" spans="1:16" ht="30" x14ac:dyDescent="0.25">
      <c r="B140" s="2" t="s">
        <v>445</v>
      </c>
      <c r="C140" s="2" t="s">
        <v>446</v>
      </c>
      <c r="D140" s="60">
        <v>300</v>
      </c>
      <c r="F140" s="273" t="s">
        <v>240</v>
      </c>
      <c r="G140" s="253" t="s">
        <v>224</v>
      </c>
      <c r="H140" s="183" t="s">
        <v>225</v>
      </c>
      <c r="I140" s="88">
        <f>D152+D163+D170-I136</f>
        <v>3279.705882352941</v>
      </c>
      <c r="K140" s="216" t="s">
        <v>530</v>
      </c>
      <c r="L140" s="218" t="s">
        <v>185</v>
      </c>
      <c r="M140" s="224" t="s">
        <v>564</v>
      </c>
      <c r="N140" s="262" t="str">
        <f>IFERROR(1000*(I150/D55+I152/D57),"-")</f>
        <v>-</v>
      </c>
      <c r="O140" s="224" t="s">
        <v>574</v>
      </c>
      <c r="P140" s="248" t="str">
        <f>IFERROR(1000*(I159/D55)+(I161/D57),"-")</f>
        <v>-</v>
      </c>
    </row>
    <row r="141" spans="1:16" x14ac:dyDescent="0.25">
      <c r="A141" s="252"/>
      <c r="B141" s="21" t="s">
        <v>234</v>
      </c>
      <c r="C141" s="21" t="s">
        <v>546</v>
      </c>
      <c r="D141" s="60">
        <v>3005</v>
      </c>
      <c r="F141" s="21"/>
      <c r="G141" s="21"/>
      <c r="H141" s="21"/>
      <c r="I141" s="21"/>
      <c r="K141" s="216" t="s">
        <v>525</v>
      </c>
      <c r="L141" s="218" t="s">
        <v>185</v>
      </c>
      <c r="M141" s="224" t="s">
        <v>566</v>
      </c>
      <c r="N141" s="262">
        <f>I151*1000/D56</f>
        <v>3.7643337715960272</v>
      </c>
      <c r="O141" s="224" t="s">
        <v>575</v>
      </c>
      <c r="P141" s="248">
        <f>1000*I160/D56</f>
        <v>0.01</v>
      </c>
    </row>
    <row r="142" spans="1:16" ht="30" x14ac:dyDescent="0.25">
      <c r="A142" s="97"/>
      <c r="B142" s="21" t="s">
        <v>238</v>
      </c>
      <c r="C142" s="21" t="s">
        <v>239</v>
      </c>
      <c r="D142" s="60">
        <v>0</v>
      </c>
      <c r="F142" s="275" t="s">
        <v>36</v>
      </c>
      <c r="G142" s="276" t="s">
        <v>37</v>
      </c>
      <c r="H142" s="276" t="s">
        <v>11</v>
      </c>
      <c r="I142" s="277" t="s">
        <v>54</v>
      </c>
      <c r="K142" s="216" t="s">
        <v>526</v>
      </c>
      <c r="L142" s="218" t="s">
        <v>474</v>
      </c>
      <c r="M142" s="224" t="s">
        <v>567</v>
      </c>
      <c r="N142" s="221">
        <f>1000*I154/D60</f>
        <v>4.6526683541963267</v>
      </c>
      <c r="O142" s="224" t="s">
        <v>576</v>
      </c>
      <c r="P142" s="182">
        <f>1000*I163/D60</f>
        <v>0.12962962962962962</v>
      </c>
    </row>
    <row r="143" spans="1:16" ht="30" x14ac:dyDescent="0.25">
      <c r="A143" s="97"/>
      <c r="B143" s="21" t="s">
        <v>241</v>
      </c>
      <c r="C143" s="21" t="s">
        <v>242</v>
      </c>
      <c r="D143" s="60">
        <v>0</v>
      </c>
      <c r="F143" s="265" t="s">
        <v>243</v>
      </c>
      <c r="G143" s="238" t="s">
        <v>232</v>
      </c>
      <c r="H143" s="238" t="s">
        <v>233</v>
      </c>
      <c r="I143" s="266">
        <f>D152*I124/D108</f>
        <v>609.55764600410112</v>
      </c>
      <c r="K143" s="216" t="s">
        <v>527</v>
      </c>
      <c r="L143" s="218" t="s">
        <v>474</v>
      </c>
      <c r="M143" s="224" t="s">
        <v>568</v>
      </c>
      <c r="N143" s="221">
        <f>IFERROR(1000*(I153/D58+I154/D60),"-")</f>
        <v>5.0670857961867695</v>
      </c>
      <c r="O143" s="224" t="s">
        <v>577</v>
      </c>
      <c r="P143" s="182">
        <f>IFERROR(1000*((I162/D58)+(I163/D60)),"-")</f>
        <v>0.14962962962962964</v>
      </c>
    </row>
    <row r="144" spans="1:16" ht="30.75" thickBot="1" x14ac:dyDescent="0.3">
      <c r="A144" s="252"/>
      <c r="B144" s="21" t="s">
        <v>244</v>
      </c>
      <c r="C144" s="21" t="s">
        <v>245</v>
      </c>
      <c r="D144" s="60">
        <v>30</v>
      </c>
      <c r="F144" s="252" t="s">
        <v>250</v>
      </c>
      <c r="G144" s="21" t="s">
        <v>437</v>
      </c>
      <c r="H144" s="21" t="s">
        <v>438</v>
      </c>
      <c r="I144" s="55">
        <f>D152*I125/D108</f>
        <v>750.86675431920537</v>
      </c>
      <c r="K144" s="214" t="s">
        <v>528</v>
      </c>
      <c r="L144" s="228" t="s">
        <v>474</v>
      </c>
      <c r="M144" s="225" t="s">
        <v>570</v>
      </c>
      <c r="N144" s="222">
        <f>N141+N142</f>
        <v>8.4170021257923544</v>
      </c>
      <c r="O144" s="263" t="s">
        <v>578</v>
      </c>
      <c r="P144" s="181">
        <f>1000*(I160/D56+I163/D60)</f>
        <v>0.13962962962962963</v>
      </c>
    </row>
    <row r="145" spans="1:9" ht="45" x14ac:dyDescent="0.25">
      <c r="A145" s="252"/>
      <c r="B145" s="21" t="s">
        <v>246</v>
      </c>
      <c r="C145" s="21" t="s">
        <v>269</v>
      </c>
      <c r="D145" s="60">
        <v>20</v>
      </c>
      <c r="F145" s="252" t="s">
        <v>252</v>
      </c>
      <c r="G145" s="21" t="s">
        <v>236</v>
      </c>
      <c r="H145" s="21" t="s">
        <v>237</v>
      </c>
      <c r="I145" s="55">
        <f>D152*I126/D108</f>
        <v>518.34015429710439</v>
      </c>
    </row>
    <row r="146" spans="1:9" ht="30" x14ac:dyDescent="0.25">
      <c r="A146" s="264" t="s">
        <v>247</v>
      </c>
      <c r="B146" s="31" t="s">
        <v>248</v>
      </c>
      <c r="C146" s="31" t="s">
        <v>249</v>
      </c>
      <c r="D146" s="52">
        <f>SUM(D140:D145)</f>
        <v>3355</v>
      </c>
      <c r="F146" s="252" t="s">
        <v>257</v>
      </c>
      <c r="G146" s="81" t="s">
        <v>365</v>
      </c>
      <c r="H146" s="81" t="s">
        <v>370</v>
      </c>
      <c r="I146" s="278">
        <f>D152*I127/D108</f>
        <v>19.720872099522133</v>
      </c>
    </row>
    <row r="147" spans="1:9" ht="75" x14ac:dyDescent="0.25">
      <c r="A147" s="252"/>
      <c r="B147" s="21" t="s">
        <v>251</v>
      </c>
      <c r="C147" s="21" t="s">
        <v>661</v>
      </c>
      <c r="D147" s="61">
        <v>0.85</v>
      </c>
      <c r="F147" s="268" t="s">
        <v>260</v>
      </c>
      <c r="G147" s="183" t="s">
        <v>366</v>
      </c>
      <c r="H147" s="183" t="s">
        <v>369</v>
      </c>
      <c r="I147" s="52">
        <f>D152*I128/D108</f>
        <v>1221.2204556330082</v>
      </c>
    </row>
    <row r="148" spans="1:9" ht="30" x14ac:dyDescent="0.25">
      <c r="A148" s="97" t="s">
        <v>253</v>
      </c>
      <c r="B148" s="33" t="s">
        <v>655</v>
      </c>
      <c r="C148" s="33" t="s">
        <v>634</v>
      </c>
      <c r="D148" s="62">
        <f>IFERROR(D102/D147,"0")</f>
        <v>58.82352941176471</v>
      </c>
    </row>
    <row r="149" spans="1:9" ht="30" x14ac:dyDescent="0.25">
      <c r="A149" s="264" t="s">
        <v>254</v>
      </c>
      <c r="B149" s="31" t="s">
        <v>545</v>
      </c>
      <c r="C149" s="31" t="s">
        <v>662</v>
      </c>
      <c r="D149" s="63">
        <f>IFERROR(D103/D147,"0")</f>
        <v>4.7058823529411766</v>
      </c>
      <c r="F149" s="39" t="s">
        <v>36</v>
      </c>
      <c r="G149" s="26" t="s">
        <v>37</v>
      </c>
      <c r="H149" s="27" t="s">
        <v>630</v>
      </c>
      <c r="I149" s="40" t="s">
        <v>54</v>
      </c>
    </row>
    <row r="150" spans="1:9" ht="45" x14ac:dyDescent="0.25">
      <c r="A150" s="97"/>
      <c r="B150" s="238" t="s">
        <v>547</v>
      </c>
      <c r="C150" s="238" t="s">
        <v>548</v>
      </c>
      <c r="D150" s="69">
        <v>0.85</v>
      </c>
      <c r="F150" s="265" t="s">
        <v>262</v>
      </c>
      <c r="G150" s="238" t="s">
        <v>258</v>
      </c>
      <c r="H150" s="238" t="s">
        <v>623</v>
      </c>
      <c r="I150" s="266">
        <f>I143+D160+D171-I136</f>
        <v>710.55764600410112</v>
      </c>
    </row>
    <row r="151" spans="1:9" x14ac:dyDescent="0.25">
      <c r="A151" s="264" t="s">
        <v>271</v>
      </c>
      <c r="B151" s="31" t="s">
        <v>635</v>
      </c>
      <c r="C151" s="31" t="s">
        <v>549</v>
      </c>
      <c r="D151" s="63">
        <f>IFERROR(D105/D150,"0")</f>
        <v>176.47058823529412</v>
      </c>
      <c r="F151" s="267" t="s">
        <v>265</v>
      </c>
      <c r="G151" s="21" t="s">
        <v>439</v>
      </c>
      <c r="H151" s="21" t="s">
        <v>629</v>
      </c>
      <c r="I151" s="55">
        <f>I144+D172</f>
        <v>752.86675431920537</v>
      </c>
    </row>
    <row r="152" spans="1:9" x14ac:dyDescent="0.25">
      <c r="A152" s="97" t="s">
        <v>273</v>
      </c>
      <c r="B152" s="33" t="s">
        <v>255</v>
      </c>
      <c r="C152" s="33" t="s">
        <v>256</v>
      </c>
      <c r="D152" s="62">
        <f>D146-D148-D151</f>
        <v>3119.705882352941</v>
      </c>
      <c r="F152" s="267" t="s">
        <v>267</v>
      </c>
      <c r="G152" s="21" t="s">
        <v>263</v>
      </c>
      <c r="H152" s="21" t="s">
        <v>625</v>
      </c>
      <c r="I152" s="55">
        <f>I145+D161+D173</f>
        <v>539.34015429710439</v>
      </c>
    </row>
    <row r="153" spans="1:9" x14ac:dyDescent="0.25">
      <c r="A153" s="265"/>
      <c r="B153" s="238"/>
      <c r="C153" s="85" t="s">
        <v>362</v>
      </c>
      <c r="D153" s="65"/>
      <c r="F153" s="267" t="s">
        <v>270</v>
      </c>
      <c r="G153" s="81" t="s">
        <v>367</v>
      </c>
      <c r="H153" s="81" t="s">
        <v>626</v>
      </c>
      <c r="I153" s="62">
        <f>I146+D174</f>
        <v>20.720872099522133</v>
      </c>
    </row>
    <row r="154" spans="1:9" x14ac:dyDescent="0.25">
      <c r="A154" s="252"/>
      <c r="B154" s="21" t="s">
        <v>259</v>
      </c>
      <c r="C154" s="21" t="s">
        <v>546</v>
      </c>
      <c r="D154" s="60">
        <v>0</v>
      </c>
      <c r="F154" s="268" t="s">
        <v>275</v>
      </c>
      <c r="G154" s="183" t="s">
        <v>368</v>
      </c>
      <c r="H154" s="183" t="s">
        <v>631</v>
      </c>
      <c r="I154" s="63">
        <f>I147+D162+D175</f>
        <v>1256.2204556330082</v>
      </c>
    </row>
    <row r="155" spans="1:9" x14ac:dyDescent="0.25">
      <c r="A155" s="97"/>
      <c r="B155" s="21" t="s">
        <v>261</v>
      </c>
      <c r="C155" s="21" t="s">
        <v>239</v>
      </c>
      <c r="D155" s="60">
        <v>100</v>
      </c>
      <c r="F155" s="21"/>
      <c r="G155" s="21"/>
      <c r="H155" s="21"/>
      <c r="I155" s="21"/>
    </row>
    <row r="156" spans="1:9" x14ac:dyDescent="0.25">
      <c r="A156" s="97"/>
      <c r="B156" s="21" t="s">
        <v>264</v>
      </c>
      <c r="C156" s="21" t="s">
        <v>242</v>
      </c>
      <c r="D156" s="60">
        <v>0</v>
      </c>
      <c r="F156" s="302" t="s">
        <v>650</v>
      </c>
      <c r="G156" s="303"/>
      <c r="H156" s="303"/>
      <c r="I156" s="304"/>
    </row>
    <row r="157" spans="1:9" x14ac:dyDescent="0.25">
      <c r="A157" s="252"/>
      <c r="B157" s="21" t="s">
        <v>266</v>
      </c>
      <c r="C157" s="21" t="s">
        <v>245</v>
      </c>
      <c r="D157" s="60">
        <v>10</v>
      </c>
      <c r="F157" s="271" t="s">
        <v>36</v>
      </c>
      <c r="G157" s="206" t="s">
        <v>37</v>
      </c>
      <c r="H157" s="206" t="s">
        <v>11</v>
      </c>
      <c r="I157" s="272" t="s">
        <v>54</v>
      </c>
    </row>
    <row r="158" spans="1:9" x14ac:dyDescent="0.25">
      <c r="A158" s="252"/>
      <c r="B158" s="21" t="s">
        <v>268</v>
      </c>
      <c r="C158" s="21" t="s">
        <v>269</v>
      </c>
      <c r="D158" s="60">
        <v>40</v>
      </c>
      <c r="F158" s="273" t="s">
        <v>279</v>
      </c>
      <c r="G158" s="253" t="s">
        <v>554</v>
      </c>
      <c r="H158" s="274" t="s">
        <v>225</v>
      </c>
      <c r="I158" s="88">
        <f>D159+D170</f>
        <v>169</v>
      </c>
    </row>
    <row r="159" spans="1:9" ht="30" x14ac:dyDescent="0.25">
      <c r="A159" s="97" t="s">
        <v>297</v>
      </c>
      <c r="B159" s="33" t="s">
        <v>272</v>
      </c>
      <c r="C159" s="33" t="s">
        <v>616</v>
      </c>
      <c r="D159" s="62">
        <f>SUM(D154:D158)</f>
        <v>150</v>
      </c>
      <c r="F159" s="252" t="s">
        <v>283</v>
      </c>
      <c r="G159" s="21" t="s">
        <v>555</v>
      </c>
      <c r="H159" s="21" t="s">
        <v>371</v>
      </c>
      <c r="I159" s="55">
        <f>D160+D171</f>
        <v>110</v>
      </c>
    </row>
    <row r="160" spans="1:9" ht="30" x14ac:dyDescent="0.25">
      <c r="A160" s="21"/>
      <c r="B160" s="21" t="s">
        <v>436</v>
      </c>
      <c r="C160" s="21" t="s">
        <v>359</v>
      </c>
      <c r="D160" s="60">
        <v>100</v>
      </c>
      <c r="F160" s="252" t="s">
        <v>288</v>
      </c>
      <c r="G160" s="21" t="s">
        <v>558</v>
      </c>
      <c r="H160" s="21" t="s">
        <v>440</v>
      </c>
      <c r="I160" s="62">
        <f>D172</f>
        <v>2</v>
      </c>
    </row>
    <row r="161" spans="1:9" ht="30" x14ac:dyDescent="0.25">
      <c r="A161" s="97"/>
      <c r="B161" s="21" t="s">
        <v>360</v>
      </c>
      <c r="C161" s="21" t="s">
        <v>361</v>
      </c>
      <c r="D161" s="49">
        <v>20</v>
      </c>
      <c r="F161" s="252" t="s">
        <v>292</v>
      </c>
      <c r="G161" s="21" t="s">
        <v>560</v>
      </c>
      <c r="H161" s="21" t="s">
        <v>372</v>
      </c>
      <c r="I161" s="55">
        <f>D161+D173</f>
        <v>21</v>
      </c>
    </row>
    <row r="162" spans="1:9" ht="30" x14ac:dyDescent="0.25">
      <c r="A162" s="97"/>
      <c r="B162" s="21" t="s">
        <v>357</v>
      </c>
      <c r="C162" s="21" t="s">
        <v>358</v>
      </c>
      <c r="D162" s="49">
        <v>30</v>
      </c>
      <c r="F162" s="252" t="s">
        <v>299</v>
      </c>
      <c r="G162" s="81" t="s">
        <v>563</v>
      </c>
      <c r="H162" s="81" t="s">
        <v>373</v>
      </c>
      <c r="I162" s="62">
        <f>D174</f>
        <v>1</v>
      </c>
    </row>
    <row r="163" spans="1:9" x14ac:dyDescent="0.25">
      <c r="A163" s="97" t="s">
        <v>305</v>
      </c>
      <c r="B163" s="33" t="s">
        <v>272</v>
      </c>
      <c r="C163" s="33" t="s">
        <v>617</v>
      </c>
      <c r="D163" s="62">
        <f>SUM(D160:D162)</f>
        <v>150</v>
      </c>
      <c r="F163" s="268" t="s">
        <v>300</v>
      </c>
      <c r="G163" s="183" t="s">
        <v>565</v>
      </c>
      <c r="H163" s="183" t="s">
        <v>374</v>
      </c>
      <c r="I163" s="63">
        <f>D162+D175</f>
        <v>35</v>
      </c>
    </row>
    <row r="164" spans="1:9" x14ac:dyDescent="0.25">
      <c r="A164" s="21"/>
      <c r="B164" s="21"/>
      <c r="C164" s="21" t="s">
        <v>274</v>
      </c>
      <c r="D164" s="66">
        <f>D159-D163</f>
        <v>0</v>
      </c>
      <c r="F164" s="21"/>
      <c r="G164" s="21"/>
      <c r="H164" s="21"/>
      <c r="I164" s="21"/>
    </row>
    <row r="165" spans="1:9" ht="30" x14ac:dyDescent="0.25">
      <c r="A165" s="265"/>
      <c r="B165" s="238"/>
      <c r="C165" s="90" t="s">
        <v>278</v>
      </c>
      <c r="D165" s="67"/>
      <c r="F165" s="305" t="s">
        <v>649</v>
      </c>
      <c r="G165" s="306"/>
      <c r="H165" s="306"/>
      <c r="I165" s="307"/>
    </row>
    <row r="166" spans="1:9" x14ac:dyDescent="0.25">
      <c r="A166" s="252"/>
      <c r="B166" s="21" t="s">
        <v>281</v>
      </c>
      <c r="C166" s="21" t="s">
        <v>282</v>
      </c>
      <c r="D166" s="60">
        <v>10</v>
      </c>
      <c r="F166" s="275" t="s">
        <v>36</v>
      </c>
      <c r="G166" s="276" t="s">
        <v>37</v>
      </c>
      <c r="H166" s="276" t="s">
        <v>11</v>
      </c>
      <c r="I166" s="277" t="s">
        <v>54</v>
      </c>
    </row>
    <row r="167" spans="1:9" ht="30" x14ac:dyDescent="0.25">
      <c r="A167" s="252"/>
      <c r="B167" s="21" t="s">
        <v>286</v>
      </c>
      <c r="C167" s="21" t="s">
        <v>287</v>
      </c>
      <c r="D167" s="60">
        <v>7</v>
      </c>
      <c r="F167" s="252" t="s">
        <v>303</v>
      </c>
      <c r="G167" s="81" t="s">
        <v>276</v>
      </c>
      <c r="H167" s="81" t="s">
        <v>277</v>
      </c>
      <c r="I167" s="80">
        <f>D134/D137</f>
        <v>0.99334442595673877</v>
      </c>
    </row>
    <row r="168" spans="1:9" ht="30" x14ac:dyDescent="0.25">
      <c r="A168" s="252"/>
      <c r="B168" s="21" t="s">
        <v>290</v>
      </c>
      <c r="C168" s="21" t="s">
        <v>291</v>
      </c>
      <c r="D168" s="60">
        <v>1</v>
      </c>
      <c r="F168" s="252" t="s">
        <v>304</v>
      </c>
      <c r="G168" s="81" t="s">
        <v>459</v>
      </c>
      <c r="H168" s="81" t="s">
        <v>280</v>
      </c>
      <c r="I168" s="55">
        <f>D146-I167*D141-D140</f>
        <v>70</v>
      </c>
    </row>
    <row r="169" spans="1:9" ht="30" x14ac:dyDescent="0.25">
      <c r="A169" s="252"/>
      <c r="B169" s="21" t="s">
        <v>295</v>
      </c>
      <c r="C169" s="21" t="s">
        <v>296</v>
      </c>
      <c r="D169" s="60">
        <v>1</v>
      </c>
      <c r="F169" s="252" t="s">
        <v>480</v>
      </c>
      <c r="G169" s="81" t="s">
        <v>284</v>
      </c>
      <c r="H169" s="81" t="s">
        <v>285</v>
      </c>
      <c r="I169" s="62">
        <f>I168-D148-D149-D151</f>
        <v>-170</v>
      </c>
    </row>
    <row r="170" spans="1:9" ht="30" x14ac:dyDescent="0.25">
      <c r="A170" s="97" t="s">
        <v>223</v>
      </c>
      <c r="B170" s="33" t="s">
        <v>298</v>
      </c>
      <c r="C170" s="33" t="s">
        <v>618</v>
      </c>
      <c r="D170" s="62">
        <f>SUM(D166:D169)</f>
        <v>19</v>
      </c>
      <c r="F170" s="252" t="s">
        <v>556</v>
      </c>
      <c r="G170" s="81" t="s">
        <v>289</v>
      </c>
      <c r="H170" s="81" t="s">
        <v>619</v>
      </c>
      <c r="I170" s="62">
        <f>D159-I167*D154</f>
        <v>150</v>
      </c>
    </row>
    <row r="171" spans="1:9" ht="30" x14ac:dyDescent="0.25">
      <c r="B171" s="2" t="s">
        <v>443</v>
      </c>
      <c r="C171" s="2" t="s">
        <v>441</v>
      </c>
      <c r="D171" s="49">
        <v>10</v>
      </c>
      <c r="F171" s="268" t="s">
        <v>557</v>
      </c>
      <c r="G171" s="183" t="s">
        <v>293</v>
      </c>
      <c r="H171" s="183" t="s">
        <v>294</v>
      </c>
      <c r="I171" s="63">
        <f>I169+I170+D170-I136-I137</f>
        <v>-12</v>
      </c>
    </row>
    <row r="172" spans="1:9" ht="30" x14ac:dyDescent="0.25">
      <c r="B172" s="2" t="s">
        <v>444</v>
      </c>
      <c r="C172" s="2" t="s">
        <v>442</v>
      </c>
      <c r="D172" s="49">
        <v>2</v>
      </c>
    </row>
    <row r="173" spans="1:9" ht="30" x14ac:dyDescent="0.25">
      <c r="B173" s="2" t="s">
        <v>301</v>
      </c>
      <c r="C173" s="2" t="s">
        <v>302</v>
      </c>
      <c r="D173" s="49">
        <v>1</v>
      </c>
    </row>
    <row r="174" spans="1:9" ht="30" x14ac:dyDescent="0.25">
      <c r="A174" s="24"/>
      <c r="B174" s="2" t="s">
        <v>363</v>
      </c>
      <c r="C174" s="2" t="s">
        <v>457</v>
      </c>
      <c r="D174" s="60">
        <v>1</v>
      </c>
    </row>
    <row r="175" spans="1:9" ht="45" x14ac:dyDescent="0.25">
      <c r="A175" s="24"/>
      <c r="B175" s="2" t="s">
        <v>364</v>
      </c>
      <c r="C175" s="2" t="s">
        <v>458</v>
      </c>
      <c r="D175" s="60">
        <v>5</v>
      </c>
    </row>
    <row r="176" spans="1:9" x14ac:dyDescent="0.25">
      <c r="A176" s="97" t="s">
        <v>231</v>
      </c>
      <c r="B176" s="29" t="s">
        <v>298</v>
      </c>
      <c r="C176" s="29" t="s">
        <v>306</v>
      </c>
      <c r="D176" s="62">
        <f>SUM(D171:D175)</f>
        <v>19</v>
      </c>
    </row>
    <row r="177" spans="1:16" x14ac:dyDescent="0.25">
      <c r="A177" s="50"/>
      <c r="B177" s="3"/>
      <c r="C177" s="30" t="s">
        <v>274</v>
      </c>
      <c r="D177" s="66">
        <f>D170-D176</f>
        <v>0</v>
      </c>
    </row>
    <row r="179" spans="1:16" x14ac:dyDescent="0.25">
      <c r="A179" s="6"/>
      <c r="B179" s="6"/>
      <c r="C179" s="6"/>
      <c r="D179" s="6"/>
      <c r="E179" s="6"/>
      <c r="F179" s="6"/>
      <c r="G179" s="6"/>
      <c r="H179" s="6"/>
      <c r="I179" s="6"/>
      <c r="J179" s="6"/>
      <c r="K179" s="6"/>
      <c r="L179" s="6"/>
      <c r="M179" s="6"/>
      <c r="N179" s="6"/>
      <c r="O179" s="6"/>
      <c r="P179" s="6"/>
    </row>
    <row r="180" spans="1:16" ht="21.75" thickBot="1" x14ac:dyDescent="0.4">
      <c r="A180" s="59" t="s">
        <v>307</v>
      </c>
      <c r="C180" s="3"/>
      <c r="D180" s="3"/>
    </row>
    <row r="181" spans="1:16" ht="21" x14ac:dyDescent="0.35">
      <c r="A181" s="39" t="s">
        <v>36</v>
      </c>
      <c r="B181" s="26" t="s">
        <v>37</v>
      </c>
      <c r="C181" s="26" t="s">
        <v>11</v>
      </c>
      <c r="D181" s="40" t="s">
        <v>54</v>
      </c>
      <c r="F181" s="39" t="s">
        <v>36</v>
      </c>
      <c r="G181" s="26" t="s">
        <v>37</v>
      </c>
      <c r="H181" s="26" t="s">
        <v>11</v>
      </c>
      <c r="I181" s="40" t="s">
        <v>54</v>
      </c>
      <c r="K181" s="209" t="s">
        <v>124</v>
      </c>
      <c r="L181" s="204"/>
      <c r="M181" s="204"/>
      <c r="N181" s="204"/>
      <c r="O181" s="204"/>
      <c r="P181" s="205"/>
    </row>
    <row r="182" spans="1:16" ht="30.75" customHeight="1" x14ac:dyDescent="0.25">
      <c r="A182" s="280"/>
      <c r="B182" s="270"/>
      <c r="C182" s="85" t="s">
        <v>308</v>
      </c>
      <c r="D182" s="58"/>
      <c r="F182" s="75" t="s">
        <v>312</v>
      </c>
      <c r="G182" s="87" t="s">
        <v>313</v>
      </c>
      <c r="H182" s="87" t="s">
        <v>314</v>
      </c>
      <c r="I182" s="88">
        <f>D191+D195+D204</f>
        <v>104.62195727769497</v>
      </c>
      <c r="K182" s="320" t="s">
        <v>646</v>
      </c>
      <c r="L182" s="321"/>
      <c r="M182" s="321"/>
      <c r="N182" s="321"/>
      <c r="O182" s="321"/>
      <c r="P182" s="322"/>
    </row>
    <row r="183" spans="1:16" ht="15.75" customHeight="1" x14ac:dyDescent="0.25">
      <c r="A183" s="281"/>
      <c r="B183" s="21" t="s">
        <v>244</v>
      </c>
      <c r="C183" s="21" t="s">
        <v>245</v>
      </c>
      <c r="D183" s="68">
        <f>D144</f>
        <v>30</v>
      </c>
      <c r="K183" s="310" t="s">
        <v>647</v>
      </c>
      <c r="L183" s="311"/>
      <c r="M183" s="311"/>
      <c r="N183" s="311"/>
      <c r="O183" s="311"/>
      <c r="P183" s="312"/>
    </row>
    <row r="184" spans="1:16" x14ac:dyDescent="0.25">
      <c r="A184" s="281"/>
      <c r="B184" s="21" t="s">
        <v>246</v>
      </c>
      <c r="C184" s="21" t="s">
        <v>269</v>
      </c>
      <c r="D184" s="68">
        <f>D145</f>
        <v>20</v>
      </c>
      <c r="F184" s="39" t="s">
        <v>36</v>
      </c>
      <c r="G184" s="26" t="s">
        <v>37</v>
      </c>
      <c r="H184" s="26" t="s">
        <v>11</v>
      </c>
      <c r="I184" s="40" t="s">
        <v>54</v>
      </c>
      <c r="K184" s="226"/>
      <c r="L184" s="227"/>
      <c r="M184" s="78" t="s">
        <v>608</v>
      </c>
      <c r="N184" s="58" t="s">
        <v>608</v>
      </c>
      <c r="O184" s="78" t="s">
        <v>609</v>
      </c>
      <c r="P184" s="201" t="s">
        <v>609</v>
      </c>
    </row>
    <row r="185" spans="1:16" ht="30" x14ac:dyDescent="0.25">
      <c r="A185" s="97" t="s">
        <v>309</v>
      </c>
      <c r="B185" s="33" t="s">
        <v>310</v>
      </c>
      <c r="C185" s="33" t="s">
        <v>311</v>
      </c>
      <c r="D185" s="64">
        <f>D183+D184</f>
        <v>50</v>
      </c>
      <c r="F185" s="47" t="s">
        <v>319</v>
      </c>
      <c r="G185" s="114" t="s">
        <v>320</v>
      </c>
      <c r="H185" s="19" t="s">
        <v>321</v>
      </c>
      <c r="I185" s="44">
        <f>D191*I124/D108</f>
        <v>9.1094390311119806</v>
      </c>
      <c r="K185" s="215" t="s">
        <v>606</v>
      </c>
      <c r="L185" s="217" t="s">
        <v>469</v>
      </c>
      <c r="M185" s="207" t="s">
        <v>36</v>
      </c>
      <c r="N185" s="219" t="s">
        <v>12</v>
      </c>
      <c r="O185" s="207" t="s">
        <v>36</v>
      </c>
      <c r="P185" s="208" t="s">
        <v>12</v>
      </c>
    </row>
    <row r="186" spans="1:16" ht="90" x14ac:dyDescent="0.25">
      <c r="A186" s="97"/>
      <c r="B186" s="21" t="s">
        <v>579</v>
      </c>
      <c r="C186" s="21" t="s">
        <v>663</v>
      </c>
      <c r="D186" s="69">
        <v>0.9</v>
      </c>
      <c r="F186" s="41" t="s">
        <v>322</v>
      </c>
      <c r="G186" s="2" t="s">
        <v>447</v>
      </c>
      <c r="H186" s="2" t="s">
        <v>448</v>
      </c>
      <c r="I186" s="42">
        <f>D191*I125/D108</f>
        <v>11.221210928611205</v>
      </c>
      <c r="K186" s="213" t="s">
        <v>522</v>
      </c>
      <c r="L186" s="218" t="s">
        <v>477</v>
      </c>
      <c r="M186" s="78" t="s">
        <v>481</v>
      </c>
      <c r="N186" s="220">
        <f>I182*1000/D62</f>
        <v>0.38748873065812955</v>
      </c>
      <c r="O186" s="78" t="s">
        <v>591</v>
      </c>
      <c r="P186" s="18">
        <f>1000*I200/D62</f>
        <v>0.21481481481481482</v>
      </c>
    </row>
    <row r="187" spans="1:16" ht="45" x14ac:dyDescent="0.25">
      <c r="A187" s="97" t="s">
        <v>315</v>
      </c>
      <c r="B187" s="33" t="s">
        <v>656</v>
      </c>
      <c r="C187" s="33" t="s">
        <v>664</v>
      </c>
      <c r="D187" s="278">
        <f>IFERROR((D185/D146)*(D102/D186),"0")</f>
        <v>0.82795164762377882</v>
      </c>
      <c r="F187" s="41" t="s">
        <v>325</v>
      </c>
      <c r="G187" s="2" t="s">
        <v>323</v>
      </c>
      <c r="H187" s="2" t="s">
        <v>324</v>
      </c>
      <c r="I187" s="42">
        <f>D191*I126/D108</f>
        <v>7.7462534739739475</v>
      </c>
      <c r="K187" s="213" t="s">
        <v>523</v>
      </c>
      <c r="L187" s="218" t="s">
        <v>185</v>
      </c>
      <c r="M187" s="78" t="s">
        <v>584</v>
      </c>
      <c r="N187" s="220">
        <f>I192*1000/D55</f>
        <v>0.40109439031111987</v>
      </c>
      <c r="O187" s="78" t="s">
        <v>592</v>
      </c>
      <c r="P187" s="18">
        <f>1000*I201/D55</f>
        <v>0.31</v>
      </c>
    </row>
    <row r="188" spans="1:16" ht="45" x14ac:dyDescent="0.25">
      <c r="A188" s="264" t="s">
        <v>316</v>
      </c>
      <c r="B188" s="31" t="s">
        <v>580</v>
      </c>
      <c r="C188" s="31" t="s">
        <v>665</v>
      </c>
      <c r="D188" s="284">
        <f>IFERROR((D185/D146)*(D103/D186),"0")</f>
        <v>6.6236131809902302E-2</v>
      </c>
      <c r="F188" s="41" t="s">
        <v>326</v>
      </c>
      <c r="G188" s="81" t="s">
        <v>494</v>
      </c>
      <c r="H188" s="74" t="s">
        <v>384</v>
      </c>
      <c r="I188" s="117">
        <f>D191*I127/D108</f>
        <v>0.29471549279810944</v>
      </c>
      <c r="K188" s="213" t="s">
        <v>607</v>
      </c>
      <c r="L188" s="218" t="s">
        <v>185</v>
      </c>
      <c r="M188" s="78" t="s">
        <v>585</v>
      </c>
      <c r="N188" s="220" t="str">
        <f>IFERROR(1000*I194/D57,"-")</f>
        <v>-</v>
      </c>
      <c r="O188" s="78" t="s">
        <v>593</v>
      </c>
      <c r="P188" s="18" t="str">
        <f>IFERROR(1000*I203/D57,"-")</f>
        <v>-</v>
      </c>
    </row>
    <row r="189" spans="1:16" ht="60" x14ac:dyDescent="0.25">
      <c r="A189" s="97"/>
      <c r="B189" s="21" t="s">
        <v>581</v>
      </c>
      <c r="C189" s="21" t="s">
        <v>582</v>
      </c>
      <c r="D189" s="69">
        <v>0.9</v>
      </c>
      <c r="F189" s="50" t="s">
        <v>330</v>
      </c>
      <c r="G189" s="183" t="s">
        <v>495</v>
      </c>
      <c r="H189" s="86" t="s">
        <v>385</v>
      </c>
      <c r="I189" s="118">
        <f>D191*I128/D108</f>
        <v>18.250338351199741</v>
      </c>
      <c r="K189" s="213" t="s">
        <v>530</v>
      </c>
      <c r="L189" s="218" t="s">
        <v>185</v>
      </c>
      <c r="M189" s="78" t="s">
        <v>586</v>
      </c>
      <c r="N189" s="220" t="str">
        <f>IFERROR(1000*(I192/D55+I194/D57),"-")</f>
        <v>-</v>
      </c>
      <c r="O189" s="78" t="s">
        <v>594</v>
      </c>
      <c r="P189" s="18" t="str">
        <f>IFERROR(1000*(I201/D55+I203/D57),"-")</f>
        <v>-</v>
      </c>
    </row>
    <row r="190" spans="1:16" x14ac:dyDescent="0.25">
      <c r="A190" s="264"/>
      <c r="B190" s="31" t="s">
        <v>641</v>
      </c>
      <c r="C190" s="31" t="s">
        <v>583</v>
      </c>
      <c r="D190" s="284">
        <f>IFERROR((D185/D146)*(D105/D189),0)</f>
        <v>2.4838549428713361</v>
      </c>
      <c r="F190" s="41"/>
      <c r="I190" s="94"/>
      <c r="K190" s="213" t="s">
        <v>525</v>
      </c>
      <c r="L190" s="218" t="s">
        <v>185</v>
      </c>
      <c r="M190" s="78" t="s">
        <v>587</v>
      </c>
      <c r="N190" s="220">
        <f>I193*1000/D56</f>
        <v>6.6106054643056023E-2</v>
      </c>
      <c r="O190" s="78" t="s">
        <v>595</v>
      </c>
      <c r="P190" s="18">
        <f>I202*1000/D56</f>
        <v>0.01</v>
      </c>
    </row>
    <row r="191" spans="1:16" ht="30" x14ac:dyDescent="0.25">
      <c r="A191" s="97" t="s">
        <v>316</v>
      </c>
      <c r="B191" s="33" t="s">
        <v>317</v>
      </c>
      <c r="C191" s="31" t="s">
        <v>318</v>
      </c>
      <c r="D191" s="63">
        <f>D185-D187-D188-D190</f>
        <v>46.621957277694982</v>
      </c>
      <c r="E191" s="12"/>
      <c r="F191" s="39" t="s">
        <v>36</v>
      </c>
      <c r="G191" s="26" t="s">
        <v>37</v>
      </c>
      <c r="H191" s="26" t="s">
        <v>11</v>
      </c>
      <c r="I191" s="40" t="s">
        <v>54</v>
      </c>
      <c r="K191" s="216" t="s">
        <v>526</v>
      </c>
      <c r="L191" s="218" t="s">
        <v>474</v>
      </c>
      <c r="M191" s="224" t="s">
        <v>588</v>
      </c>
      <c r="N191" s="229">
        <f>1000*I196/D60</f>
        <v>0.11944569759703609</v>
      </c>
      <c r="O191" s="224" t="s">
        <v>596</v>
      </c>
      <c r="P191" s="182">
        <f>1000*I205/D60</f>
        <v>5.185185185185185E-2</v>
      </c>
    </row>
    <row r="192" spans="1:16" ht="30" x14ac:dyDescent="0.25">
      <c r="A192" s="269"/>
      <c r="B192" s="270"/>
      <c r="C192" s="85" t="s">
        <v>390</v>
      </c>
      <c r="D192" s="58"/>
      <c r="E192" s="12"/>
      <c r="F192" s="41" t="s">
        <v>333</v>
      </c>
      <c r="G192" s="2" t="s">
        <v>336</v>
      </c>
      <c r="H192" s="2" t="s">
        <v>337</v>
      </c>
      <c r="I192" s="45">
        <f>I185+D196+D205</f>
        <v>40.109439031111982</v>
      </c>
      <c r="K192" s="216" t="s">
        <v>527</v>
      </c>
      <c r="L192" s="218" t="s">
        <v>474</v>
      </c>
      <c r="M192" s="224" t="s">
        <v>589</v>
      </c>
      <c r="N192" s="229">
        <f>IFERROR(1000*(I195/D58+I196/D60),"-")</f>
        <v>0.12534000745299828</v>
      </c>
      <c r="O192" s="224" t="s">
        <v>604</v>
      </c>
      <c r="P192" s="182">
        <f>IFERROR(1000*(I204/D58+I205/D60),"-")</f>
        <v>5.185185185185185E-2</v>
      </c>
    </row>
    <row r="193" spans="1:16" ht="30.75" thickBot="1" x14ac:dyDescent="0.3">
      <c r="A193" s="97"/>
      <c r="B193" s="21" t="s">
        <v>266</v>
      </c>
      <c r="C193" s="21" t="s">
        <v>245</v>
      </c>
      <c r="D193" s="68">
        <f>D157</f>
        <v>10</v>
      </c>
      <c r="E193" s="12"/>
      <c r="F193" s="41" t="s">
        <v>466</v>
      </c>
      <c r="G193" s="2" t="s">
        <v>449</v>
      </c>
      <c r="H193" s="2" t="s">
        <v>450</v>
      </c>
      <c r="I193" s="45">
        <f>I186+D206</f>
        <v>13.221210928611205</v>
      </c>
      <c r="K193" s="214" t="s">
        <v>528</v>
      </c>
      <c r="L193" s="228" t="s">
        <v>474</v>
      </c>
      <c r="M193" s="225" t="s">
        <v>590</v>
      </c>
      <c r="N193" s="222">
        <f>N190+N191</f>
        <v>0.18555175224009213</v>
      </c>
      <c r="O193" s="225" t="s">
        <v>605</v>
      </c>
      <c r="P193" s="181">
        <f>P190+P191</f>
        <v>6.1851851851851852E-2</v>
      </c>
    </row>
    <row r="194" spans="1:16" ht="15.75" x14ac:dyDescent="0.25">
      <c r="A194" s="97"/>
      <c r="B194" s="21" t="s">
        <v>268</v>
      </c>
      <c r="C194" s="21" t="s">
        <v>269</v>
      </c>
      <c r="D194" s="68">
        <f>D158</f>
        <v>40</v>
      </c>
      <c r="E194" s="12"/>
      <c r="F194" s="41" t="s">
        <v>467</v>
      </c>
      <c r="G194" s="2" t="s">
        <v>339</v>
      </c>
      <c r="H194" s="2" t="s">
        <v>340</v>
      </c>
      <c r="I194" s="45">
        <f>I187+D197+D207</f>
        <v>18.746253473973947</v>
      </c>
    </row>
    <row r="195" spans="1:16" ht="15.75" x14ac:dyDescent="0.25">
      <c r="A195" s="97" t="s">
        <v>327</v>
      </c>
      <c r="B195" s="33" t="s">
        <v>328</v>
      </c>
      <c r="C195" s="33" t="s">
        <v>329</v>
      </c>
      <c r="D195" s="64">
        <f>D193+D194</f>
        <v>50</v>
      </c>
      <c r="E195" s="12"/>
      <c r="F195" s="41" t="s">
        <v>338</v>
      </c>
      <c r="G195" s="74" t="s">
        <v>386</v>
      </c>
      <c r="H195" s="74" t="s">
        <v>388</v>
      </c>
      <c r="I195" s="95">
        <f>I188+D208</f>
        <v>0.29471549279810944</v>
      </c>
    </row>
    <row r="196" spans="1:16" ht="30" x14ac:dyDescent="0.25">
      <c r="A196" s="21"/>
      <c r="B196" s="21" t="s">
        <v>453</v>
      </c>
      <c r="C196" s="21" t="s">
        <v>377</v>
      </c>
      <c r="D196" s="60">
        <v>30</v>
      </c>
      <c r="E196" s="12"/>
      <c r="F196" s="50" t="s">
        <v>341</v>
      </c>
      <c r="G196" s="86" t="s">
        <v>387</v>
      </c>
      <c r="H196" s="86" t="s">
        <v>389</v>
      </c>
      <c r="I196" s="51">
        <f>I189+D198+D209</f>
        <v>32.250338351199744</v>
      </c>
    </row>
    <row r="197" spans="1:16" ht="30" x14ac:dyDescent="0.25">
      <c r="A197" s="97"/>
      <c r="B197" s="21" t="s">
        <v>375</v>
      </c>
      <c r="C197" s="21" t="s">
        <v>378</v>
      </c>
      <c r="D197" s="49">
        <v>10</v>
      </c>
      <c r="E197" s="12"/>
    </row>
    <row r="198" spans="1:16" ht="30" x14ac:dyDescent="0.25">
      <c r="A198" s="97"/>
      <c r="B198" s="21" t="s">
        <v>376</v>
      </c>
      <c r="C198" s="21" t="s">
        <v>379</v>
      </c>
      <c r="D198" s="49">
        <v>10</v>
      </c>
      <c r="E198" s="12"/>
      <c r="F198" s="302" t="s">
        <v>648</v>
      </c>
      <c r="G198" s="303"/>
      <c r="H198" s="303"/>
      <c r="I198" s="304"/>
    </row>
    <row r="199" spans="1:16" ht="15.75" x14ac:dyDescent="0.25">
      <c r="A199" s="97" t="s">
        <v>331</v>
      </c>
      <c r="B199" s="33" t="s">
        <v>328</v>
      </c>
      <c r="C199" s="33" t="s">
        <v>332</v>
      </c>
      <c r="D199" s="64">
        <f>SUM(D196:D198)</f>
        <v>50</v>
      </c>
      <c r="E199" s="12"/>
      <c r="F199" s="275" t="s">
        <v>36</v>
      </c>
      <c r="G199" s="276" t="s">
        <v>37</v>
      </c>
      <c r="H199" s="276" t="s">
        <v>11</v>
      </c>
      <c r="I199" s="277" t="s">
        <v>54</v>
      </c>
    </row>
    <row r="200" spans="1:16" ht="15.75" x14ac:dyDescent="0.25">
      <c r="A200" s="264"/>
      <c r="B200" s="162"/>
      <c r="C200" s="31" t="s">
        <v>151</v>
      </c>
      <c r="D200" s="66">
        <f>D195-D199</f>
        <v>0</v>
      </c>
      <c r="E200" s="12"/>
      <c r="F200" s="273" t="s">
        <v>344</v>
      </c>
      <c r="G200" s="274" t="s">
        <v>597</v>
      </c>
      <c r="H200" s="274" t="s">
        <v>314</v>
      </c>
      <c r="I200" s="88">
        <f>D195+D204</f>
        <v>58</v>
      </c>
    </row>
    <row r="201" spans="1:16" ht="30" x14ac:dyDescent="0.25">
      <c r="A201" s="270"/>
      <c r="B201" s="270"/>
      <c r="C201" s="90" t="s">
        <v>334</v>
      </c>
      <c r="D201" s="70"/>
      <c r="E201" s="12"/>
      <c r="F201" s="252" t="s">
        <v>345</v>
      </c>
      <c r="G201" s="21" t="s">
        <v>598</v>
      </c>
      <c r="H201" s="21" t="s">
        <v>337</v>
      </c>
      <c r="I201" s="282">
        <f>D196+D205</f>
        <v>31</v>
      </c>
    </row>
    <row r="202" spans="1:16" ht="15.75" x14ac:dyDescent="0.25">
      <c r="A202" s="224"/>
      <c r="B202" s="21" t="s">
        <v>286</v>
      </c>
      <c r="C202" s="21" t="s">
        <v>287</v>
      </c>
      <c r="D202" s="68">
        <f>D167</f>
        <v>7</v>
      </c>
      <c r="E202" s="12"/>
      <c r="F202" s="252" t="s">
        <v>351</v>
      </c>
      <c r="G202" s="21" t="s">
        <v>599</v>
      </c>
      <c r="H202" s="21" t="s">
        <v>450</v>
      </c>
      <c r="I202" s="282">
        <f>D206</f>
        <v>2</v>
      </c>
    </row>
    <row r="203" spans="1:16" ht="15.75" x14ac:dyDescent="0.25">
      <c r="A203" s="224"/>
      <c r="B203" s="21" t="s">
        <v>295</v>
      </c>
      <c r="C203" s="21" t="s">
        <v>335</v>
      </c>
      <c r="D203" s="68">
        <f>D169</f>
        <v>1</v>
      </c>
      <c r="E203" s="12"/>
      <c r="F203" s="252" t="s">
        <v>352</v>
      </c>
      <c r="G203" s="21" t="s">
        <v>600</v>
      </c>
      <c r="H203" s="21" t="s">
        <v>340</v>
      </c>
      <c r="I203" s="282">
        <f>D197+D207</f>
        <v>11</v>
      </c>
    </row>
    <row r="204" spans="1:16" ht="15.75" x14ac:dyDescent="0.25">
      <c r="A204" s="97" t="s">
        <v>346</v>
      </c>
      <c r="B204" s="33" t="s">
        <v>347</v>
      </c>
      <c r="C204" s="33" t="s">
        <v>348</v>
      </c>
      <c r="D204" s="55">
        <f>D202+D203</f>
        <v>8</v>
      </c>
      <c r="E204" s="12"/>
      <c r="F204" s="252" t="s">
        <v>353</v>
      </c>
      <c r="G204" s="81" t="s">
        <v>601</v>
      </c>
      <c r="H204" s="81" t="s">
        <v>388</v>
      </c>
      <c r="I204" s="283">
        <f>D208</f>
        <v>0</v>
      </c>
    </row>
    <row r="205" spans="1:16" ht="30" x14ac:dyDescent="0.25">
      <c r="A205" s="21"/>
      <c r="B205" s="21" t="s">
        <v>454</v>
      </c>
      <c r="C205" s="21" t="s">
        <v>451</v>
      </c>
      <c r="D205" s="49">
        <v>1</v>
      </c>
      <c r="E205" s="12"/>
      <c r="F205" s="268" t="s">
        <v>354</v>
      </c>
      <c r="G205" s="183" t="s">
        <v>602</v>
      </c>
      <c r="H205" s="183" t="s">
        <v>389</v>
      </c>
      <c r="I205" s="63">
        <f>D198+D209</f>
        <v>14</v>
      </c>
    </row>
    <row r="206" spans="1:16" ht="30" x14ac:dyDescent="0.25">
      <c r="A206" s="21"/>
      <c r="B206" s="21" t="s">
        <v>455</v>
      </c>
      <c r="C206" s="21" t="s">
        <v>452</v>
      </c>
      <c r="D206" s="49">
        <v>2</v>
      </c>
      <c r="E206" s="12"/>
    </row>
    <row r="207" spans="1:16" ht="45" x14ac:dyDescent="0.25">
      <c r="B207" s="2" t="s">
        <v>342</v>
      </c>
      <c r="C207" s="2" t="s">
        <v>343</v>
      </c>
      <c r="D207" s="49">
        <v>1</v>
      </c>
      <c r="E207" s="12"/>
    </row>
    <row r="208" spans="1:16" ht="45" x14ac:dyDescent="0.25">
      <c r="A208" s="24"/>
      <c r="B208" s="2" t="s">
        <v>380</v>
      </c>
      <c r="C208" s="2" t="s">
        <v>381</v>
      </c>
      <c r="D208" s="49">
        <v>0</v>
      </c>
      <c r="E208" s="12"/>
    </row>
    <row r="209" spans="1:16" ht="45" x14ac:dyDescent="0.25">
      <c r="A209" s="24"/>
      <c r="B209" s="2" t="s">
        <v>382</v>
      </c>
      <c r="C209" s="2" t="s">
        <v>383</v>
      </c>
      <c r="D209" s="49">
        <v>4</v>
      </c>
      <c r="E209" s="12"/>
    </row>
    <row r="210" spans="1:16" ht="15.75" x14ac:dyDescent="0.25">
      <c r="A210" s="24" t="s">
        <v>349</v>
      </c>
      <c r="B210" s="29" t="s">
        <v>347</v>
      </c>
      <c r="C210" s="33" t="s">
        <v>350</v>
      </c>
      <c r="D210" s="64">
        <f>SUM(D205:D209)</f>
        <v>8</v>
      </c>
      <c r="E210" s="12"/>
    </row>
    <row r="211" spans="1:16" ht="15.75" x14ac:dyDescent="0.25">
      <c r="A211" s="82"/>
      <c r="B211" s="3"/>
      <c r="C211" s="31" t="s">
        <v>274</v>
      </c>
      <c r="D211" s="66">
        <f>D210-D204</f>
        <v>0</v>
      </c>
      <c r="E211" s="12"/>
    </row>
    <row r="212" spans="1:16" ht="15.75" x14ac:dyDescent="0.25">
      <c r="A212" s="24"/>
      <c r="C212" s="33"/>
      <c r="D212" s="96"/>
      <c r="E212" s="12"/>
    </row>
    <row r="213" spans="1:16" x14ac:dyDescent="0.25">
      <c r="A213" s="6"/>
      <c r="B213" s="6"/>
      <c r="C213" s="6"/>
      <c r="D213" s="6"/>
      <c r="E213" s="6"/>
      <c r="F213" s="6"/>
      <c r="G213" s="6"/>
      <c r="H213" s="6"/>
      <c r="I213" s="6"/>
      <c r="J213" s="6"/>
      <c r="K213" s="6"/>
      <c r="L213" s="6"/>
      <c r="M213" s="6"/>
      <c r="N213" s="6"/>
      <c r="O213" s="6"/>
      <c r="P213" s="6"/>
    </row>
    <row r="215" spans="1:16" x14ac:dyDescent="0.25">
      <c r="A215" s="89" t="s">
        <v>355</v>
      </c>
    </row>
    <row r="216" spans="1:16" x14ac:dyDescent="0.25">
      <c r="A216" s="293"/>
      <c r="B216" s="294"/>
      <c r="C216" s="294"/>
      <c r="D216" s="294"/>
      <c r="E216" s="294"/>
      <c r="F216" s="294"/>
      <c r="G216" s="294"/>
      <c r="H216" s="294"/>
      <c r="I216" s="295"/>
      <c r="J216" s="223"/>
    </row>
    <row r="217" spans="1:16" x14ac:dyDescent="0.25">
      <c r="A217" s="296"/>
      <c r="B217" s="297"/>
      <c r="C217" s="297"/>
      <c r="D217" s="297"/>
      <c r="E217" s="297"/>
      <c r="F217" s="297"/>
      <c r="G217" s="297"/>
      <c r="H217" s="297"/>
      <c r="I217" s="298"/>
    </row>
    <row r="218" spans="1:16" x14ac:dyDescent="0.25">
      <c r="A218" s="296"/>
      <c r="B218" s="297"/>
      <c r="C218" s="297"/>
      <c r="D218" s="297"/>
      <c r="E218" s="297"/>
      <c r="F218" s="297"/>
      <c r="G218" s="297"/>
      <c r="H218" s="297"/>
      <c r="I218" s="298"/>
    </row>
    <row r="219" spans="1:16" x14ac:dyDescent="0.25">
      <c r="A219" s="296"/>
      <c r="B219" s="297"/>
      <c r="C219" s="297"/>
      <c r="D219" s="297"/>
      <c r="E219" s="297"/>
      <c r="F219" s="297"/>
      <c r="G219" s="297"/>
      <c r="H219" s="297"/>
      <c r="I219" s="298"/>
    </row>
    <row r="220" spans="1:16" x14ac:dyDescent="0.25">
      <c r="A220" s="299"/>
      <c r="B220" s="300"/>
      <c r="C220" s="300"/>
      <c r="D220" s="300"/>
      <c r="E220" s="300"/>
      <c r="F220" s="300"/>
      <c r="G220" s="300"/>
      <c r="H220" s="300"/>
      <c r="I220" s="301"/>
    </row>
  </sheetData>
  <mergeCells count="13">
    <mergeCell ref="K183:P183"/>
    <mergeCell ref="K67:P67"/>
    <mergeCell ref="K68:P68"/>
    <mergeCell ref="A46:H46"/>
    <mergeCell ref="K133:P133"/>
    <mergeCell ref="K182:P182"/>
    <mergeCell ref="K134:P134"/>
    <mergeCell ref="A47:H50"/>
    <mergeCell ref="A216:I220"/>
    <mergeCell ref="F198:I198"/>
    <mergeCell ref="F165:I165"/>
    <mergeCell ref="F156:I156"/>
    <mergeCell ref="A11:F11"/>
  </mergeCells>
  <phoneticPr fontId="11" type="noConversion"/>
  <dataValidations count="13">
    <dataValidation type="list" allowBlank="1" showInputMessage="1" showErrorMessage="1" sqref="G44:G45" xr:uid="{D2166BDE-1F75-421F-9FAE-10E90022CD02}">
      <formula1>"(Välj),TJ,ton,m3,Nm3,Annan enhet (ange i kommentarsfältet)"</formula1>
    </dataValidation>
    <dataValidation type="list" allowBlank="1" showInputMessage="1" showErrorMessage="1" sqref="D45" xr:uid="{2F59D77E-D44D-4450-9DAE-755A14B5A2E6}">
      <formula1>"(Välj),Tallolja,Etanol,Biogas,Lignin,Metanol,Annan (ange i kommentarsfältet)"</formula1>
    </dataValidation>
    <dataValidation type="list" allowBlank="1" showInputMessage="1" showErrorMessage="1" sqref="D38 D34:D35" xr:uid="{0FD7AF0C-206B-471F-9155-C26C505BE63D}">
      <formula1>"(Välj),Förpackningskartong,Förpackningspapper,Wellpappmaterial,Tryckpapper,Tidningspapper,Mjukpapper,Övrigt (ange i kommentarsfältet)"</formula1>
    </dataValidation>
    <dataValidation type="list" allowBlank="1" showInputMessage="1" showErrorMessage="1" sqref="D39:D40" xr:uid="{A002324F-6439-4211-BF9A-25F7F561D2B4}">
      <formula1>"(Välj),Kondens,Mottryck"</formula1>
    </dataValidation>
    <dataValidation type="list" allowBlank="1" showInputMessage="1" showErrorMessage="1" sqref="D21:D22" xr:uid="{52A52E76-838C-4135-9A94-DDFF138DB4D9}">
      <formula1>"(Välj),ECF-blekt,TCF-blekt,Oblekt"</formula1>
    </dataValidation>
    <dataValidation type="list" allowBlank="1" showInputMessage="1" showErrorMessage="1" sqref="D26:D27 D24 D32" xr:uid="{4E2C88EB-24E8-44B6-A58D-C4E5DAB4D720}">
      <formula1>"(Välj),Inköpta,Egenproducerade,I huvudsak inköpta,I huvudsak egenproducerade"</formula1>
    </dataValidation>
    <dataValidation type="list" allowBlank="1" showInputMessage="1" showErrorMessage="1" sqref="D28" xr:uid="{42B4FD82-4855-425E-BE43-A2A256B4C723}">
      <formula1>"(Välj),Avsvärtad,Ej avsvärtad"</formula1>
    </dataValidation>
    <dataValidation type="list" allowBlank="1" showInputMessage="1" showErrorMessage="1" sqref="D15:D18 D21:D22" xr:uid="{715F568A-1CBC-4DBF-9C2D-66357D1C421C}">
      <formula1>"(Välj),Löv - rundved,Löv - flis,Barr - rundved,Barr - flis"</formula1>
    </dataValidation>
    <dataValidation type="list" allowBlank="1" showInputMessage="1" showErrorMessage="1" sqref="D30" xr:uid="{4043011B-9895-4C42-9FC3-59A6E7BCCFE7}">
      <formula1>"(Välj),Ditionit,Väteperoxid,Kombination,Oblekt"</formula1>
    </dataValidation>
    <dataValidation type="list" allowBlank="1" showInputMessage="1" showErrorMessage="1" sqref="D19" xr:uid="{0D5B5C63-8F7A-4E0B-974B-5324D76B3E37}">
      <formula1>"(Välj),Pappersmassa,Dissolving,Annat"</formula1>
    </dataValidation>
    <dataValidation type="list" allowBlank="1" showInputMessage="1" showErrorMessage="1" sqref="D37" xr:uid="{B77D1605-A32F-424F-BC06-6E36FBBB18BF}">
      <formula1>"(Välj),Fyllmedel,Bestrykning"</formula1>
    </dataValidation>
    <dataValidation type="list" allowBlank="1" showInputMessage="1" showErrorMessage="1" sqref="G15:G18" xr:uid="{46F040FE-14CB-4B1F-B5BA-6D2C5B46A6D4}">
      <formula1>"(Välj),m3fub,ton,%,Annan enhet (ange i kommentarsfältet)"</formula1>
    </dataValidation>
    <dataValidation type="list" allowBlank="1" showInputMessage="1" showErrorMessage="1" sqref="D44" xr:uid="{40A01EB4-C54C-4EE9-884E-DADB1BB10614}">
      <formula1>"(Välj),Lignin,Metanol,Annan (ange i kommentarsfältet),Ingen"</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4DD7B8-7434-4985-8A66-CF59E2356426}">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customXml/itemProps2.xml><?xml version="1.0" encoding="utf-8"?>
<ds:datastoreItem xmlns:ds="http://schemas.openxmlformats.org/officeDocument/2006/customXml" ds:itemID="{24A3E425-BA66-4940-B40A-0C5AB1B828A1}"/>
</file>

<file path=customXml/itemProps3.xml><?xml version="1.0" encoding="utf-8"?>
<ds:datastoreItem xmlns:ds="http://schemas.openxmlformats.org/officeDocument/2006/customXml" ds:itemID="{CE78FFB4-874E-4E8F-98CD-5104BDDBC9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Sulfat+RCF+Papper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Fernandez, Hanna</dc:creator>
  <cp:keywords/>
  <dc:description/>
  <cp:lastModifiedBy>Elin  Svensson</cp:lastModifiedBy>
  <cp:revision/>
  <dcterms:created xsi:type="dcterms:W3CDTF">2018-09-17T06:42:26Z</dcterms:created>
  <dcterms:modified xsi:type="dcterms:W3CDTF">2025-07-08T06:14:28Z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